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E:\Рішення ВК план ПМСД\"/>
    </mc:Choice>
  </mc:AlternateContent>
  <bookViews>
    <workbookView xWindow="0" yWindow="0" windowWidth="28800" windowHeight="12435" tabRatio="860"/>
  </bookViews>
  <sheets>
    <sheet name="Осн. фін. пок." sheetId="14" r:id="rId1"/>
    <sheet name="I. Фін результат" sheetId="2" r:id="rId2"/>
    <sheet name="ІІ. Розр. з бюджетом" sheetId="19" r:id="rId3"/>
    <sheet name="ІІІ. Рух грош. коштів" sheetId="18" r:id="rId4"/>
    <sheet name="IV. Кап. інвестиції" sheetId="3" r:id="rId5"/>
    <sheet name=" V. Коефіцієнти" sheetId="11" r:id="rId6"/>
    <sheet name="6.1. Інша інфо_1" sheetId="10" r:id="rId7"/>
    <sheet name="Розрахунок посадових окладів" sheetId="26" r:id="rId8"/>
    <sheet name="6.2. Інша інфо_2" sheetId="9" r:id="rId9"/>
    <sheet name="Аркуш2" sheetId="33"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s>
  <definedNames>
    <definedName name="__123Graph_XGRAPH3" hidden="1">[1]GDP!#REF!</definedName>
    <definedName name="_xlnm._FilterDatabase" localSheetId="7" hidden="1">'Розрахунок посадових окладів'!$A$6:$P$509</definedName>
    <definedName name="aa">'[2]1993'!$A$1:$IV$3,'[2]1993'!$A$1:$A$65536</definedName>
    <definedName name="ad">'[3]МТР Газ України'!$B$1</definedName>
    <definedName name="as">'[4]МТР Газ України'!$B$1</definedName>
    <definedName name="asdf">[5]Inform!$E$6</definedName>
    <definedName name="asdfg">[5]Inform!$F$2</definedName>
    <definedName name="BuiltIn_Print_Area___1___1">#REF!</definedName>
    <definedName name="ClDate">[6]Inform!$E$6</definedName>
    <definedName name="ClDate_21">[7]Inform!$E$6</definedName>
    <definedName name="ClDate_25">[7]Inform!$E$6</definedName>
    <definedName name="ClDate_6">[8]Inform!$E$6</definedName>
    <definedName name="CompName">[6]Inform!$F$2</definedName>
    <definedName name="CompName_21">[7]Inform!$F$2</definedName>
    <definedName name="CompName_25">[7]Inform!$F$2</definedName>
    <definedName name="CompName_6">[8]Inform!$F$2</definedName>
    <definedName name="CompNameE">[6]Inform!$G$2</definedName>
    <definedName name="CompNameE_21">[7]Inform!$G$2</definedName>
    <definedName name="CompNameE_25">[7]Inform!$G$2</definedName>
    <definedName name="CompNameE_6">[8]Inform!$G$2</definedName>
    <definedName name="Cost_Category_National_ID">#REF!</definedName>
    <definedName name="Cе511">#REF!</definedName>
    <definedName name="d">'[9]МТР Газ України'!$B$4</definedName>
    <definedName name="dCPIb">[10]попер_роз!#REF!</definedName>
    <definedName name="dPPIb">[10]попер_роз!#REF!</definedName>
    <definedName name="ds">'[11]7  Інші витрати'!#REF!</definedName>
    <definedName name="Fact_Type_ID">#REF!</definedName>
    <definedName name="G">'[12]МТР Газ України'!$B$1</definedName>
    <definedName name="ij1sssss">'[13]7  Інші витрати'!#REF!</definedName>
    <definedName name="LastItem">[14]Лист1!$A$1</definedName>
    <definedName name="Load">'[15]МТР Газ України'!$B$4</definedName>
    <definedName name="Load_ID">'[16]МТР Газ України'!$B$4</definedName>
    <definedName name="Load_ID_10">'[17]7  Інші витрати'!#REF!</definedName>
    <definedName name="Load_ID_11">'[18]МТР Газ України'!$B$4</definedName>
    <definedName name="Load_ID_12">'[18]МТР Газ України'!$B$4</definedName>
    <definedName name="Load_ID_13">'[18]МТР Газ України'!$B$4</definedName>
    <definedName name="Load_ID_14">'[18]МТР Газ України'!$B$4</definedName>
    <definedName name="Load_ID_15">'[18]МТР Газ України'!$B$4</definedName>
    <definedName name="Load_ID_16">'[18]МТР Газ України'!$B$4</definedName>
    <definedName name="Load_ID_17">'[18]МТР Газ України'!$B$4</definedName>
    <definedName name="Load_ID_18">'[19]МТР Газ України'!$B$4</definedName>
    <definedName name="Load_ID_19">'[20]МТР Газ України'!$B$4</definedName>
    <definedName name="Load_ID_20">'[19]МТР Газ України'!$B$4</definedName>
    <definedName name="Load_ID_200">'[15]МТР Газ України'!$B$4</definedName>
    <definedName name="Load_ID_21">'[21]МТР Газ України'!$B$4</definedName>
    <definedName name="Load_ID_23">'[20]МТР Газ України'!$B$4</definedName>
    <definedName name="Load_ID_25">'[21]МТР Газ України'!$B$4</definedName>
    <definedName name="Load_ID_542">'[22]МТР Газ України'!$B$4</definedName>
    <definedName name="Load_ID_6">'[18]МТР Газ України'!$B$4</definedName>
    <definedName name="OpDate">[6]Inform!$E$5</definedName>
    <definedName name="OpDate_21">[7]Inform!$E$5</definedName>
    <definedName name="OpDate_25">[7]Inform!$E$5</definedName>
    <definedName name="OpDate_6">[8]Inform!$E$5</definedName>
    <definedName name="QR">[23]Inform!$E$5</definedName>
    <definedName name="qw">[5]Inform!$E$5</definedName>
    <definedName name="qwert">[5]Inform!$G$2</definedName>
    <definedName name="qwerty">'[4]МТР Газ України'!$B$4</definedName>
    <definedName name="ShowFil">[14]!ShowFil</definedName>
    <definedName name="SU_ID">#REF!</definedName>
    <definedName name="Time_ID">'[16]МТР Газ України'!$B$1</definedName>
    <definedName name="Time_ID_10">'[17]7  Інші витрати'!#REF!</definedName>
    <definedName name="Time_ID_11">'[18]МТР Газ України'!$B$1</definedName>
    <definedName name="Time_ID_12">'[18]МТР Газ України'!$B$1</definedName>
    <definedName name="Time_ID_13">'[18]МТР Газ України'!$B$1</definedName>
    <definedName name="Time_ID_14">'[18]МТР Газ України'!$B$1</definedName>
    <definedName name="Time_ID_15">'[18]МТР Газ України'!$B$1</definedName>
    <definedName name="Time_ID_16">'[18]МТР Газ України'!$B$1</definedName>
    <definedName name="Time_ID_17">'[18]МТР Газ України'!$B$1</definedName>
    <definedName name="Time_ID_18">'[19]МТР Газ України'!$B$1</definedName>
    <definedName name="Time_ID_19">'[20]МТР Газ України'!$B$1</definedName>
    <definedName name="Time_ID_20">'[19]МТР Газ України'!$B$1</definedName>
    <definedName name="Time_ID_21">'[21]МТР Газ України'!$B$1</definedName>
    <definedName name="Time_ID_23">'[20]МТР Газ України'!$B$1</definedName>
    <definedName name="Time_ID_25">'[21]МТР Газ України'!$B$1</definedName>
    <definedName name="Time_ID_6">'[18]МТР Газ України'!$B$1</definedName>
    <definedName name="Time_ID0">'[16]МТР Газ України'!$F$1</definedName>
    <definedName name="Time_ID0_10">'[17]7  Інші витрати'!#REF!</definedName>
    <definedName name="Time_ID0_11">'[18]МТР Газ України'!$F$1</definedName>
    <definedName name="Time_ID0_12">'[18]МТР Газ України'!$F$1</definedName>
    <definedName name="Time_ID0_13">'[18]МТР Газ України'!$F$1</definedName>
    <definedName name="Time_ID0_14">'[18]МТР Газ України'!$F$1</definedName>
    <definedName name="Time_ID0_15">'[18]МТР Газ України'!$F$1</definedName>
    <definedName name="Time_ID0_16">'[18]МТР Газ України'!$F$1</definedName>
    <definedName name="Time_ID0_17">'[18]МТР Газ України'!$F$1</definedName>
    <definedName name="Time_ID0_18">'[19]МТР Газ України'!$F$1</definedName>
    <definedName name="Time_ID0_19">'[20]МТР Газ України'!$F$1</definedName>
    <definedName name="Time_ID0_20">'[19]МТР Газ України'!$F$1</definedName>
    <definedName name="Time_ID0_21">'[21]МТР Газ України'!$F$1</definedName>
    <definedName name="Time_ID0_23">'[20]МТР Газ України'!$F$1</definedName>
    <definedName name="Time_ID0_25">'[21]МТР Газ України'!$F$1</definedName>
    <definedName name="Time_ID0_6">'[18]МТР Газ України'!$F$1</definedName>
    <definedName name="ttttttt">#REF!</definedName>
    <definedName name="Unit">[6]Inform!$E$38</definedName>
    <definedName name="Unit_21">[7]Inform!$E$38</definedName>
    <definedName name="Unit_25">[7]Inform!$E$38</definedName>
    <definedName name="Unit_6">[8]Inform!$E$38</definedName>
    <definedName name="WQER">'[24]МТР Газ України'!$B$4</definedName>
    <definedName name="wr">'[24]МТР Газ України'!$B$4</definedName>
    <definedName name="yyyy">#REF!</definedName>
    <definedName name="zx">'[4]МТР Газ України'!$F$1</definedName>
    <definedName name="zxc">[5]Inform!$E$38</definedName>
    <definedName name="а">'[13]7  Інші витрати'!#REF!</definedName>
    <definedName name="ав">#REF!</definedName>
    <definedName name="аен">'[24]МТР Газ України'!$B$4</definedName>
    <definedName name="_xlnm.Database">'[25]Ener '!$A$1:$G$2645</definedName>
    <definedName name="в">'[26]МТР Газ України'!$F$1</definedName>
    <definedName name="ватт">'[27]БАЗА  '!#REF!</definedName>
    <definedName name="Д">'[15]МТР Газ України'!$B$4</definedName>
    <definedName name="е">#REF!</definedName>
    <definedName name="є">#REF!</definedName>
    <definedName name="_xlnm.Print_Titles" localSheetId="5">' V. Коефіцієнти'!$5:$5</definedName>
    <definedName name="_xlnm.Print_Titles" localSheetId="1">'I. Фін результат'!$5:$5</definedName>
    <definedName name="_xlnm.Print_Titles" localSheetId="2">'ІІ. Розр. з бюджетом'!$5:$5</definedName>
    <definedName name="_xlnm.Print_Titles" localSheetId="0">'Осн. фін. пок.'!$44:$44</definedName>
    <definedName name="Заголовки_для_печати_МИ">'[28]1993'!$A$1:$IV$3,'[28]1993'!$A$1:$A$65536</definedName>
    <definedName name="і">[29]Inform!$F$2</definedName>
    <definedName name="ів">#REF!</definedName>
    <definedName name="ів___0">#REF!</definedName>
    <definedName name="ів_22">#REF!</definedName>
    <definedName name="ів_26">#REF!</definedName>
    <definedName name="іваіа">'[30]7  Інші витрати'!#REF!</definedName>
    <definedName name="іваф">#REF!</definedName>
    <definedName name="івів">'[12]МТР Газ України'!$B$1</definedName>
    <definedName name="іцу">[23]Inform!$G$2</definedName>
    <definedName name="йуц">#REF!</definedName>
    <definedName name="йцу">#REF!</definedName>
    <definedName name="йцуйй">#REF!</definedName>
    <definedName name="йцукц">'[30]7  Інші витрати'!#REF!</definedName>
    <definedName name="КЕ">#REF!</definedName>
    <definedName name="КЕ___0">#REF!</definedName>
    <definedName name="КЕ_22">#REF!</definedName>
    <definedName name="КЕ_26">#REF!</definedName>
    <definedName name="кен">#REF!</definedName>
    <definedName name="л">#REF!</definedName>
    <definedName name="_xlnm.Print_Area" localSheetId="5">' V. Коефіцієнти'!$A$1:$H$14</definedName>
    <definedName name="_xlnm.Print_Area" localSheetId="8">'6.2. Інша інфо_2'!$A$1:$AE$104</definedName>
    <definedName name="_xlnm.Print_Area" localSheetId="1">'I. Фін результат'!$A$1:$K$132</definedName>
    <definedName name="_xlnm.Print_Area" localSheetId="4">'IV. Кап. інвестиції'!$A$1:$J$20</definedName>
    <definedName name="_xlnm.Print_Area" localSheetId="2">'ІІ. Розр. з бюджетом'!$A$1:$J$37</definedName>
    <definedName name="_xlnm.Print_Area" localSheetId="3">'ІІІ. Рух грош. коштів'!$A$1:$J$90</definedName>
    <definedName name="_xlnm.Print_Area" localSheetId="0">'Осн. фін. пок.'!$A$1:$F$93</definedName>
    <definedName name="_xlnm.Print_Area" localSheetId="7">'Розрахунок посадових окладів'!$A$1:$O$513</definedName>
    <definedName name="п">'[13]7  Інші витрати'!#REF!</definedName>
    <definedName name="пдв">'[15]МТР Газ України'!$B$4</definedName>
    <definedName name="пдв_утг">'[15]МТР Газ України'!$F$1</definedName>
    <definedName name="План">#REF!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#REF!</definedName>
    <definedName name="ппп">[31]Inform!$E$6</definedName>
    <definedName name="р">#REF!</definedName>
    <definedName name="т">[32]Inform!$E$6</definedName>
    <definedName name="тариф">[33]Inform!$G$2</definedName>
    <definedName name="уйцукйцуйу">#REF!</definedName>
    <definedName name="уке">[34]Inform!$G$2</definedName>
    <definedName name="УТГ">'[15]МТР Газ України'!$B$4</definedName>
    <definedName name="фів">'[24]МТР Газ України'!$B$4</definedName>
    <definedName name="фіваіф">'[30]7  Інші витрати'!#REF!</definedName>
    <definedName name="фф">'[26]МТР Газ України'!$F$1</definedName>
    <definedName name="ц">'[13]7  Інші витрати'!#REF!</definedName>
    <definedName name="ччч">'[35]БАЗА  '!#REF!</definedName>
    <definedName name="ш">#REF!</definedName>
  </definedNames>
  <calcPr calcId="152511"/>
</workbook>
</file>

<file path=xl/calcChain.xml><?xml version="1.0" encoding="utf-8"?>
<calcChain xmlns="http://schemas.openxmlformats.org/spreadsheetml/2006/main">
  <c r="H37" i="2" l="1"/>
  <c r="H38" i="2"/>
  <c r="J20" i="2"/>
  <c r="G20" i="2"/>
  <c r="I15" i="2"/>
  <c r="J15" i="2"/>
  <c r="H15" i="2"/>
  <c r="F18" i="3" l="1"/>
  <c r="O123" i="2"/>
  <c r="P123" i="2"/>
  <c r="N123" i="2"/>
  <c r="M123" i="2"/>
  <c r="H91" i="2" l="1"/>
  <c r="I91" i="2"/>
  <c r="J91" i="2"/>
  <c r="G91" i="2"/>
  <c r="W86" i="9" s="1"/>
  <c r="T86" i="9" s="1"/>
  <c r="Y87" i="9"/>
  <c r="W85" i="9"/>
  <c r="T85" i="9" s="1"/>
  <c r="W80" i="9"/>
  <c r="T78" i="9"/>
  <c r="T79" i="9"/>
  <c r="H23" i="18"/>
  <c r="I23" i="18"/>
  <c r="J23" i="18"/>
  <c r="H11" i="18"/>
  <c r="Y80" i="9" s="1"/>
  <c r="I11" i="18"/>
  <c r="AA80" i="9" s="1"/>
  <c r="J11" i="18"/>
  <c r="AC80" i="9" s="1"/>
  <c r="G11" i="18"/>
  <c r="H90" i="2"/>
  <c r="I90" i="2"/>
  <c r="AA87" i="9" s="1"/>
  <c r="J90" i="2"/>
  <c r="J29" i="19" s="1"/>
  <c r="G90" i="2"/>
  <c r="G23" i="18" s="1"/>
  <c r="I37" i="2"/>
  <c r="G37" i="2"/>
  <c r="F39" i="2"/>
  <c r="P32" i="9"/>
  <c r="P29" i="9"/>
  <c r="T80" i="9" l="1"/>
  <c r="W87" i="9"/>
  <c r="F11" i="18"/>
  <c r="F90" i="2"/>
  <c r="AC87" i="9"/>
  <c r="G18" i="2"/>
  <c r="G19" i="2" s="1"/>
  <c r="H18" i="2"/>
  <c r="H19" i="2" s="1"/>
  <c r="J52" i="2"/>
  <c r="J53" i="2" s="1"/>
  <c r="I52" i="2"/>
  <c r="I53" i="2" s="1"/>
  <c r="H52" i="2"/>
  <c r="H53" i="2" s="1"/>
  <c r="G52" i="2"/>
  <c r="G53" i="2" s="1"/>
  <c r="I18" i="2"/>
  <c r="I19" i="2" s="1"/>
  <c r="J93" i="2"/>
  <c r="H93" i="2"/>
  <c r="J92" i="2"/>
  <c r="I93" i="2"/>
  <c r="I92" i="2"/>
  <c r="H92" i="2"/>
  <c r="G93" i="2"/>
  <c r="G92" i="2"/>
  <c r="J43" i="2"/>
  <c r="G125" i="2" l="1"/>
  <c r="T87" i="9"/>
  <c r="I126" i="2"/>
  <c r="G126" i="2"/>
  <c r="H126" i="2"/>
  <c r="H125" i="2"/>
  <c r="H36" i="2"/>
  <c r="A450" i="26"/>
  <c r="A456" i="26"/>
  <c r="E10" i="19"/>
  <c r="J11" i="10"/>
  <c r="J22" i="10"/>
  <c r="J26" i="10" s="1"/>
  <c r="I10" i="19"/>
  <c r="E19" i="2"/>
  <c r="J18" i="2"/>
  <c r="J19" i="2" s="1"/>
  <c r="J126" i="2" s="1"/>
  <c r="G15" i="3" l="1"/>
  <c r="H15" i="3"/>
  <c r="H6" i="3" s="1"/>
  <c r="E43" i="18"/>
  <c r="G47" i="10"/>
  <c r="I26" i="2"/>
  <c r="J26" i="2"/>
  <c r="I125" i="2"/>
  <c r="J125" i="2"/>
  <c r="J54" i="2"/>
  <c r="E15" i="3"/>
  <c r="E6" i="3" s="1"/>
  <c r="E80" i="18"/>
  <c r="E53" i="2"/>
  <c r="E94" i="2"/>
  <c r="E93" i="2"/>
  <c r="E92" i="2"/>
  <c r="E91" i="2"/>
  <c r="E52" i="2"/>
  <c r="E35" i="2"/>
  <c r="E18" i="2"/>
  <c r="E71" i="2"/>
  <c r="D15" i="3"/>
  <c r="H22" i="10"/>
  <c r="H19" i="10" s="1"/>
  <c r="H23" i="10" s="1"/>
  <c r="H21" i="10"/>
  <c r="H25" i="10" s="1"/>
  <c r="H29" i="10" s="1"/>
  <c r="H20" i="10"/>
  <c r="H24" i="10" s="1"/>
  <c r="H28" i="10" s="1"/>
  <c r="H15" i="10"/>
  <c r="H27" i="10" s="1"/>
  <c r="G124" i="2"/>
  <c r="J94" i="2"/>
  <c r="F92" i="2"/>
  <c r="F93" i="2"/>
  <c r="E126" i="2" l="1"/>
  <c r="F125" i="2"/>
  <c r="E125" i="2"/>
  <c r="N14" i="2"/>
  <c r="H26" i="10"/>
  <c r="H30" i="10" s="1"/>
  <c r="H26" i="2"/>
  <c r="G26" i="2"/>
  <c r="H54" i="2" l="1"/>
  <c r="E459" i="26"/>
  <c r="E418" i="26"/>
  <c r="E292" i="26"/>
  <c r="E212" i="26"/>
  <c r="I54" i="2" l="1"/>
  <c r="G54" i="2"/>
  <c r="G86" i="2"/>
  <c r="H86" i="2"/>
  <c r="I86" i="2"/>
  <c r="J86" i="2"/>
  <c r="G127" i="2" l="1"/>
  <c r="J127" i="2"/>
  <c r="I127" i="2"/>
  <c r="H127" i="2"/>
  <c r="I43" i="2"/>
  <c r="I94" i="2" s="1"/>
  <c r="H43" i="2" l="1"/>
  <c r="G43" i="2"/>
  <c r="G94" i="2" s="1"/>
  <c r="J37" i="2"/>
  <c r="J38" i="2"/>
  <c r="I38" i="2"/>
  <c r="G38" i="2"/>
  <c r="E324" i="26"/>
  <c r="O325" i="26"/>
  <c r="E408" i="26"/>
  <c r="E351" i="26"/>
  <c r="E349" i="26"/>
  <c r="E344" i="26"/>
  <c r="E342" i="26"/>
  <c r="E323" i="26"/>
  <c r="E211" i="26"/>
  <c r="E208" i="26"/>
  <c r="E223" i="26" s="1"/>
  <c r="E329" i="26"/>
  <c r="E328" i="26"/>
  <c r="E220" i="26"/>
  <c r="E219" i="26"/>
  <c r="E217" i="26"/>
  <c r="O217" i="26" s="1"/>
  <c r="O216" i="26"/>
  <c r="E214" i="26"/>
  <c r="E210" i="26"/>
  <c r="E209" i="26"/>
  <c r="P93" i="2"/>
  <c r="P92" i="2"/>
  <c r="H25" i="2"/>
  <c r="E202" i="26"/>
  <c r="E467" i="26"/>
  <c r="E429" i="26"/>
  <c r="K425" i="26"/>
  <c r="N425" i="26" s="1"/>
  <c r="E410" i="26"/>
  <c r="O410" i="26" s="1"/>
  <c r="K404" i="26"/>
  <c r="E341" i="26"/>
  <c r="O341" i="26" s="1"/>
  <c r="K320" i="26"/>
  <c r="E311" i="26"/>
  <c r="O311" i="26" s="1"/>
  <c r="K307" i="26"/>
  <c r="N307" i="26" s="1"/>
  <c r="O307" i="26" s="1"/>
  <c r="E288" i="26"/>
  <c r="E283" i="26"/>
  <c r="E272" i="26"/>
  <c r="E265" i="26"/>
  <c r="E253" i="26"/>
  <c r="E252" i="26"/>
  <c r="O252" i="26" s="1"/>
  <c r="E247" i="26"/>
  <c r="E215" i="26"/>
  <c r="E154" i="26"/>
  <c r="O154" i="26" s="1"/>
  <c r="E23" i="26"/>
  <c r="E232" i="26"/>
  <c r="E500" i="26"/>
  <c r="E499" i="26"/>
  <c r="N477" i="26"/>
  <c r="O477" i="26" s="1"/>
  <c r="M476" i="26"/>
  <c r="I476" i="26"/>
  <c r="M421" i="26"/>
  <c r="K421" i="26"/>
  <c r="I421" i="26"/>
  <c r="E421" i="26"/>
  <c r="G395" i="26"/>
  <c r="M379" i="26"/>
  <c r="E378" i="26"/>
  <c r="E360" i="26"/>
  <c r="M317" i="26"/>
  <c r="O292" i="26"/>
  <c r="O299" i="26" s="1"/>
  <c r="M279" i="26"/>
  <c r="E260" i="26"/>
  <c r="E257" i="26"/>
  <c r="N235" i="26"/>
  <c r="N237" i="26"/>
  <c r="E236" i="26"/>
  <c r="E243" i="26" s="1"/>
  <c r="O233" i="26"/>
  <c r="O230" i="26"/>
  <c r="K231" i="26"/>
  <c r="K228" i="26"/>
  <c r="E237" i="26"/>
  <c r="E242" i="26" s="1"/>
  <c r="O238" i="26"/>
  <c r="E235" i="26"/>
  <c r="E234" i="26"/>
  <c r="E226" i="26"/>
  <c r="M225" i="26"/>
  <c r="M204" i="26"/>
  <c r="M167" i="26"/>
  <c r="O149" i="26"/>
  <c r="O143" i="26"/>
  <c r="O140" i="26"/>
  <c r="E140" i="26"/>
  <c r="E139" i="26"/>
  <c r="O139" i="26"/>
  <c r="E132" i="26"/>
  <c r="O131" i="26"/>
  <c r="E131" i="26"/>
  <c r="O128" i="26"/>
  <c r="O130" i="26" s="1"/>
  <c r="E125" i="26"/>
  <c r="E124" i="26"/>
  <c r="O90" i="26"/>
  <c r="O94" i="26" s="1"/>
  <c r="N88" i="26"/>
  <c r="E76" i="26"/>
  <c r="N71" i="26"/>
  <c r="O71" i="26" s="1"/>
  <c r="N67" i="26"/>
  <c r="O67" i="26" s="1"/>
  <c r="E73" i="26"/>
  <c r="E77" i="26" s="1"/>
  <c r="O55" i="26"/>
  <c r="O56" i="26" s="1"/>
  <c r="O60" i="26" s="1"/>
  <c r="E56" i="26"/>
  <c r="E60" i="26" s="1"/>
  <c r="O40" i="26"/>
  <c r="O44" i="26" s="1"/>
  <c r="E40" i="26"/>
  <c r="E44" i="26" s="1"/>
  <c r="O31" i="26"/>
  <c r="O32" i="26" s="1"/>
  <c r="O36" i="26" s="1"/>
  <c r="E32" i="26"/>
  <c r="E36" i="26" s="1"/>
  <c r="E27" i="26"/>
  <c r="O17" i="26"/>
  <c r="O11" i="26"/>
  <c r="O12" i="26"/>
  <c r="O13" i="26"/>
  <c r="O14" i="26"/>
  <c r="O15" i="26"/>
  <c r="O16" i="26"/>
  <c r="O18" i="26"/>
  <c r="O19" i="26"/>
  <c r="O20" i="26"/>
  <c r="O21" i="26"/>
  <c r="O22" i="26"/>
  <c r="O10" i="26"/>
  <c r="E229" i="26"/>
  <c r="E240" i="26" s="1"/>
  <c r="D15" i="10"/>
  <c r="D19" i="10" s="1"/>
  <c r="M7" i="9"/>
  <c r="M8" i="9" s="1"/>
  <c r="Q8" i="9"/>
  <c r="T8" i="9"/>
  <c r="W8" i="9"/>
  <c r="Z8" i="9"/>
  <c r="AC8" i="9"/>
  <c r="V16" i="9"/>
  <c r="V17" i="9" s="1"/>
  <c r="X17" i="9"/>
  <c r="Z17" i="9"/>
  <c r="AB17" i="9"/>
  <c r="AD17" i="9"/>
  <c r="X25" i="9"/>
  <c r="Z25" i="9"/>
  <c r="Z39" i="9" s="1"/>
  <c r="AB25" i="9"/>
  <c r="AD25" i="9"/>
  <c r="B26" i="9"/>
  <c r="G26" i="9"/>
  <c r="L26" i="9"/>
  <c r="Z26" i="9"/>
  <c r="AB26" i="9"/>
  <c r="AD26" i="9"/>
  <c r="B27" i="9"/>
  <c r="B41" i="9" s="1"/>
  <c r="L27" i="9"/>
  <c r="Z27" i="9"/>
  <c r="Z41" i="9" s="1"/>
  <c r="AB27" i="9"/>
  <c r="AD27" i="9"/>
  <c r="AD41" i="9" s="1"/>
  <c r="A28" i="9"/>
  <c r="A29" i="9" s="1"/>
  <c r="B28" i="9"/>
  <c r="L28" i="9"/>
  <c r="X28" i="9"/>
  <c r="Z28" i="9"/>
  <c r="AB28" i="9"/>
  <c r="AD28" i="9"/>
  <c r="B29" i="9"/>
  <c r="B43" i="9" s="1"/>
  <c r="L29" i="9"/>
  <c r="B30" i="9"/>
  <c r="B44" i="9" s="1"/>
  <c r="L30" i="9"/>
  <c r="X30" i="9"/>
  <c r="Z30" i="9"/>
  <c r="Z44" i="9" s="1"/>
  <c r="AB30" i="9"/>
  <c r="AD30" i="9"/>
  <c r="AD44" i="9" s="1"/>
  <c r="B31" i="9"/>
  <c r="B45" i="9" s="1"/>
  <c r="L31" i="9"/>
  <c r="Z31" i="9"/>
  <c r="Z45" i="9" s="1"/>
  <c r="AB31" i="9"/>
  <c r="AB45" i="9" s="1"/>
  <c r="AD31" i="9"/>
  <c r="G32" i="9"/>
  <c r="H32" i="9"/>
  <c r="I32" i="9"/>
  <c r="J32" i="9"/>
  <c r="K32" i="9"/>
  <c r="N32" i="9"/>
  <c r="R32" i="9"/>
  <c r="T32" i="9"/>
  <c r="X39" i="9"/>
  <c r="AB39" i="9"/>
  <c r="AD39" i="9"/>
  <c r="B40" i="9"/>
  <c r="N40" i="9"/>
  <c r="P40" i="9"/>
  <c r="R40" i="9"/>
  <c r="T40" i="9"/>
  <c r="G41" i="9"/>
  <c r="N41" i="9"/>
  <c r="P41" i="9"/>
  <c r="R41" i="9"/>
  <c r="AB41" i="9" s="1"/>
  <c r="T41" i="9"/>
  <c r="A42" i="9"/>
  <c r="A43" i="9" s="1"/>
  <c r="B42" i="9"/>
  <c r="Z42" i="9"/>
  <c r="AB42" i="9"/>
  <c r="AD42" i="9"/>
  <c r="X44" i="9"/>
  <c r="AB44" i="9"/>
  <c r="G45" i="9"/>
  <c r="L45" i="9"/>
  <c r="AD45" i="9"/>
  <c r="H46" i="9"/>
  <c r="I46" i="9"/>
  <c r="J46" i="9"/>
  <c r="K46" i="9"/>
  <c r="P46" i="9"/>
  <c r="E57" i="9"/>
  <c r="G57" i="9"/>
  <c r="I57" i="9"/>
  <c r="K57" i="9"/>
  <c r="M57" i="9"/>
  <c r="O57" i="9"/>
  <c r="Q57" i="9"/>
  <c r="S57" i="9"/>
  <c r="K65" i="9"/>
  <c r="N65" i="9"/>
  <c r="Q65" i="9"/>
  <c r="W65" i="9"/>
  <c r="Y65" i="9"/>
  <c r="AA65" i="9"/>
  <c r="AC65" i="9"/>
  <c r="T66" i="9"/>
  <c r="K68" i="9"/>
  <c r="N68" i="9"/>
  <c r="Q68" i="9"/>
  <c r="W68" i="9"/>
  <c r="Y68" i="9"/>
  <c r="AA68" i="9"/>
  <c r="AC68" i="9"/>
  <c r="T70" i="9"/>
  <c r="K75" i="9"/>
  <c r="N76" i="9"/>
  <c r="N82" i="9" s="1"/>
  <c r="Q76" i="9"/>
  <c r="Q82" i="9" s="1"/>
  <c r="N77" i="9"/>
  <c r="Q77" i="9"/>
  <c r="Q75" i="9" s="1"/>
  <c r="W77" i="9"/>
  <c r="Y77" i="9"/>
  <c r="AA77" i="9"/>
  <c r="AC77" i="9"/>
  <c r="K82" i="9"/>
  <c r="T83" i="9"/>
  <c r="K84" i="9"/>
  <c r="N84" i="9"/>
  <c r="K88" i="9"/>
  <c r="A63" i="26"/>
  <c r="A64" i="26" s="1"/>
  <c r="A65" i="26" s="1"/>
  <c r="A66" i="26" s="1"/>
  <c r="A67" i="26" s="1"/>
  <c r="A68" i="26" s="1"/>
  <c r="A69" i="26" s="1"/>
  <c r="A70" i="26" s="1"/>
  <c r="A71" i="26" s="1"/>
  <c r="A72" i="26" s="1"/>
  <c r="O72" i="26"/>
  <c r="E90" i="26"/>
  <c r="E94" i="26" s="1"/>
  <c r="E97" i="26"/>
  <c r="E103" i="26" s="1"/>
  <c r="E107" i="26" s="1"/>
  <c r="O98" i="26"/>
  <c r="O99" i="26"/>
  <c r="N109" i="26"/>
  <c r="O109" i="26" s="1"/>
  <c r="N110" i="26"/>
  <c r="O110" i="26" s="1"/>
  <c r="N111" i="26"/>
  <c r="O111" i="26" s="1"/>
  <c r="E112" i="26"/>
  <c r="N112" i="26"/>
  <c r="O112" i="26" s="1"/>
  <c r="N113" i="26"/>
  <c r="O113" i="26" s="1"/>
  <c r="N114" i="26"/>
  <c r="O114" i="26" s="1"/>
  <c r="N115" i="26"/>
  <c r="O115" i="26" s="1"/>
  <c r="K116" i="26"/>
  <c r="N117" i="26"/>
  <c r="O117" i="26"/>
  <c r="M118" i="26"/>
  <c r="O118" i="26"/>
  <c r="O124" i="26" s="1"/>
  <c r="N119" i="26"/>
  <c r="O119" i="26"/>
  <c r="N120" i="26"/>
  <c r="O120" i="26"/>
  <c r="O129" i="26"/>
  <c r="O132" i="26" s="1"/>
  <c r="E130" i="26"/>
  <c r="O155" i="26"/>
  <c r="O156" i="26"/>
  <c r="K157" i="26"/>
  <c r="K166" i="26" s="1"/>
  <c r="N157" i="26"/>
  <c r="O157" i="26" s="1"/>
  <c r="E159" i="26"/>
  <c r="K174" i="26"/>
  <c r="E177" i="26"/>
  <c r="E182" i="26" s="1"/>
  <c r="O177" i="26"/>
  <c r="O178" i="26"/>
  <c r="E203" i="26"/>
  <c r="K207" i="26"/>
  <c r="N207" i="26" s="1"/>
  <c r="O207" i="26" s="1"/>
  <c r="O209" i="26"/>
  <c r="O210" i="26"/>
  <c r="O211" i="26"/>
  <c r="O212" i="26"/>
  <c r="K213" i="26"/>
  <c r="K224" i="26" s="1"/>
  <c r="N213" i="26"/>
  <c r="O213" i="26" s="1"/>
  <c r="O215" i="26"/>
  <c r="O219" i="26"/>
  <c r="O220" i="26"/>
  <c r="O221" i="26"/>
  <c r="N234" i="26"/>
  <c r="O234" i="26" s="1"/>
  <c r="O236" i="26"/>
  <c r="O237" i="26"/>
  <c r="O242" i="26" s="1"/>
  <c r="N245" i="26"/>
  <c r="O245" i="26"/>
  <c r="O246" i="26"/>
  <c r="O248" i="26"/>
  <c r="O249" i="26"/>
  <c r="O250" i="26"/>
  <c r="A251" i="26"/>
  <c r="A252" i="26" s="1"/>
  <c r="A253" i="26" s="1"/>
  <c r="A254" i="26" s="1"/>
  <c r="A255" i="26" s="1"/>
  <c r="O251" i="26"/>
  <c r="O253" i="26"/>
  <c r="O254" i="26"/>
  <c r="O255" i="26"/>
  <c r="O259" i="26" s="1"/>
  <c r="K262" i="26"/>
  <c r="N262" i="26"/>
  <c r="O262" i="26" s="1"/>
  <c r="O263" i="26"/>
  <c r="O264" i="26"/>
  <c r="E277" i="26"/>
  <c r="O265" i="26"/>
  <c r="O266" i="26"/>
  <c r="O267" i="26"/>
  <c r="O268" i="26"/>
  <c r="O269" i="26"/>
  <c r="O270" i="26"/>
  <c r="E271" i="26"/>
  <c r="E278" i="26" s="1"/>
  <c r="E276" i="26"/>
  <c r="O272" i="26"/>
  <c r="O273" i="26"/>
  <c r="O274" i="26"/>
  <c r="O275" i="26"/>
  <c r="K282" i="26"/>
  <c r="K296" i="26" s="1"/>
  <c r="O284" i="26"/>
  <c r="E285" i="26"/>
  <c r="N285" i="26"/>
  <c r="N286" i="26"/>
  <c r="O286" i="26" s="1"/>
  <c r="K287" i="26"/>
  <c r="K297" i="26" s="1"/>
  <c r="O288" i="26"/>
  <c r="E289" i="26"/>
  <c r="O289" i="26" s="1"/>
  <c r="E290" i="26"/>
  <c r="O290" i="26"/>
  <c r="O291" i="26"/>
  <c r="E294" i="26"/>
  <c r="M298" i="26" s="1"/>
  <c r="O294" i="26"/>
  <c r="O298" i="26" s="1"/>
  <c r="O301" i="26"/>
  <c r="O302" i="26"/>
  <c r="O303" i="26"/>
  <c r="O304" i="26"/>
  <c r="E305" i="26"/>
  <c r="O305" i="26" s="1"/>
  <c r="O306" i="26"/>
  <c r="O308" i="26"/>
  <c r="E309" i="26"/>
  <c r="O310" i="26"/>
  <c r="O312" i="26"/>
  <c r="O313" i="26"/>
  <c r="N320" i="26"/>
  <c r="O320" i="26" s="1"/>
  <c r="O321" i="26"/>
  <c r="O322" i="26"/>
  <c r="O323" i="26"/>
  <c r="O324" i="26"/>
  <c r="O326" i="26"/>
  <c r="N327" i="26"/>
  <c r="O327" i="26" s="1"/>
  <c r="O328" i="26"/>
  <c r="O329" i="26"/>
  <c r="E330" i="26"/>
  <c r="O330" i="26"/>
  <c r="O331" i="26"/>
  <c r="O332" i="26"/>
  <c r="O333" i="26"/>
  <c r="E334" i="26"/>
  <c r="K340" i="26"/>
  <c r="N340" i="26" s="1"/>
  <c r="O340" i="26" s="1"/>
  <c r="O342" i="26"/>
  <c r="O343" i="26"/>
  <c r="O344" i="26"/>
  <c r="O345" i="26"/>
  <c r="O346" i="26"/>
  <c r="K347" i="26"/>
  <c r="N347" i="26"/>
  <c r="O347" i="26" s="1"/>
  <c r="O348" i="26"/>
  <c r="O349" i="26"/>
  <c r="O350" i="26"/>
  <c r="O352" i="26"/>
  <c r="O353" i="26"/>
  <c r="O354" i="26"/>
  <c r="O356" i="26"/>
  <c r="O357" i="26"/>
  <c r="O358" i="26"/>
  <c r="O371" i="26"/>
  <c r="O378" i="26" s="1"/>
  <c r="E376" i="26"/>
  <c r="O376" i="26"/>
  <c r="O382" i="26"/>
  <c r="E383" i="26"/>
  <c r="E398" i="26" s="1"/>
  <c r="E384" i="26"/>
  <c r="O384" i="26" s="1"/>
  <c r="O385" i="26"/>
  <c r="O386" i="26"/>
  <c r="O387" i="26"/>
  <c r="K388" i="26"/>
  <c r="N388" i="26" s="1"/>
  <c r="O388" i="26" s="1"/>
  <c r="O389" i="26"/>
  <c r="E390" i="26"/>
  <c r="O391" i="26"/>
  <c r="O392" i="26"/>
  <c r="O393" i="26"/>
  <c r="O394" i="26"/>
  <c r="O396" i="26"/>
  <c r="O397" i="26"/>
  <c r="N404" i="26"/>
  <c r="O404" i="26"/>
  <c r="E406" i="26"/>
  <c r="O408" i="26"/>
  <c r="N409" i="26"/>
  <c r="O409" i="26" s="1"/>
  <c r="N411" i="26"/>
  <c r="O411" i="26" s="1"/>
  <c r="N414" i="26"/>
  <c r="O414" i="26" s="1"/>
  <c r="O425" i="26"/>
  <c r="O426" i="26"/>
  <c r="O427" i="26"/>
  <c r="O428" i="26"/>
  <c r="O429" i="26"/>
  <c r="O430" i="26"/>
  <c r="O431" i="26"/>
  <c r="E432" i="26"/>
  <c r="O432" i="26" s="1"/>
  <c r="E433" i="26"/>
  <c r="O434" i="26"/>
  <c r="O435" i="26"/>
  <c r="O436" i="26"/>
  <c r="O443" i="26"/>
  <c r="O444" i="26"/>
  <c r="O445" i="26"/>
  <c r="E446" i="26"/>
  <c r="E461" i="26" s="1"/>
  <c r="O446" i="26"/>
  <c r="O447" i="26"/>
  <c r="O448" i="26"/>
  <c r="O449" i="26"/>
  <c r="O450" i="26"/>
  <c r="K451" i="26"/>
  <c r="N451" i="26" s="1"/>
  <c r="O451" i="26"/>
  <c r="O452" i="26"/>
  <c r="O453" i="26"/>
  <c r="E454" i="26"/>
  <c r="O455" i="26"/>
  <c r="A459" i="26"/>
  <c r="E456" i="26"/>
  <c r="O456" i="26"/>
  <c r="O457" i="26"/>
  <c r="O458" i="26"/>
  <c r="O459" i="26"/>
  <c r="O466" i="26"/>
  <c r="O468" i="26"/>
  <c r="O469" i="26"/>
  <c r="E470" i="26"/>
  <c r="O470" i="26" s="1"/>
  <c r="K471" i="26"/>
  <c r="N471" i="26" s="1"/>
  <c r="O471" i="26" s="1"/>
  <c r="O472" i="26"/>
  <c r="O473" i="26"/>
  <c r="E474" i="26"/>
  <c r="O474" i="26" s="1"/>
  <c r="O475" i="26"/>
  <c r="O478" i="26"/>
  <c r="O479" i="26"/>
  <c r="O480" i="26"/>
  <c r="O487" i="26"/>
  <c r="O488" i="26"/>
  <c r="O489" i="26"/>
  <c r="O490" i="26"/>
  <c r="O491" i="26"/>
  <c r="A492" i="26"/>
  <c r="A493" i="26" s="1"/>
  <c r="A494" i="26" s="1"/>
  <c r="A495" i="26" s="1"/>
  <c r="A496" i="26" s="1"/>
  <c r="A497" i="26" s="1"/>
  <c r="O492" i="26"/>
  <c r="O493" i="26"/>
  <c r="O494" i="26"/>
  <c r="O495" i="26"/>
  <c r="O496" i="26"/>
  <c r="O497" i="26"/>
  <c r="E498" i="26"/>
  <c r="D11" i="10"/>
  <c r="F11" i="10"/>
  <c r="L11" i="10"/>
  <c r="N11" i="10"/>
  <c r="L12" i="10"/>
  <c r="N12" i="10"/>
  <c r="L13" i="10"/>
  <c r="N13" i="10"/>
  <c r="L14" i="10"/>
  <c r="N14" i="10"/>
  <c r="F15" i="10"/>
  <c r="F19" i="10" s="1"/>
  <c r="J15" i="10"/>
  <c r="L16" i="10"/>
  <c r="N16" i="10"/>
  <c r="L17" i="10"/>
  <c r="N17" i="10"/>
  <c r="L18" i="10"/>
  <c r="N18" i="10"/>
  <c r="D20" i="10"/>
  <c r="F20" i="10"/>
  <c r="J20" i="10"/>
  <c r="J24" i="10" s="1"/>
  <c r="N24" i="10" s="1"/>
  <c r="D21" i="10"/>
  <c r="F21" i="10"/>
  <c r="J21" i="10"/>
  <c r="J25" i="10" s="1"/>
  <c r="D22" i="10"/>
  <c r="F22" i="10"/>
  <c r="L22" i="10"/>
  <c r="N22" i="10"/>
  <c r="J28" i="10"/>
  <c r="L28" i="10" s="1"/>
  <c r="L26" i="10"/>
  <c r="D27" i="10"/>
  <c r="F27" i="10"/>
  <c r="D28" i="10"/>
  <c r="F28" i="10"/>
  <c r="D29" i="10"/>
  <c r="F29" i="10"/>
  <c r="D30" i="10"/>
  <c r="F30" i="10"/>
  <c r="A41" i="10"/>
  <c r="D47" i="10"/>
  <c r="K54" i="10"/>
  <c r="D11" i="11"/>
  <c r="E11" i="11"/>
  <c r="F11" i="11"/>
  <c r="G11" i="11"/>
  <c r="D6" i="3"/>
  <c r="F7" i="3"/>
  <c r="G8" i="3"/>
  <c r="F9" i="3"/>
  <c r="G11" i="3"/>
  <c r="G52" i="18" s="1"/>
  <c r="G49" i="18" s="1"/>
  <c r="F12" i="3"/>
  <c r="F14" i="3"/>
  <c r="C15" i="3"/>
  <c r="C6" i="3" s="1"/>
  <c r="I15" i="3"/>
  <c r="J15" i="3"/>
  <c r="F17" i="3"/>
  <c r="V30" i="9" s="1"/>
  <c r="G7" i="18"/>
  <c r="C8" i="18"/>
  <c r="C6" i="18" s="1"/>
  <c r="D8" i="18"/>
  <c r="D6" i="18" s="1"/>
  <c r="E8" i="18"/>
  <c r="E6" i="18" s="1"/>
  <c r="G9" i="18"/>
  <c r="H9" i="18"/>
  <c r="I9" i="18"/>
  <c r="J9" i="18"/>
  <c r="G10" i="18"/>
  <c r="W76" i="9" s="1"/>
  <c r="W75" i="9" s="1"/>
  <c r="H10" i="18"/>
  <c r="Y76" i="9" s="1"/>
  <c r="I10" i="18"/>
  <c r="AA76" i="9" s="1"/>
  <c r="J10" i="18"/>
  <c r="AC76" i="9" s="1"/>
  <c r="F12" i="18"/>
  <c r="F13" i="18"/>
  <c r="H15" i="18"/>
  <c r="F15" i="18" s="1"/>
  <c r="C18" i="18"/>
  <c r="D18" i="18"/>
  <c r="E18" i="18"/>
  <c r="F22" i="18"/>
  <c r="F24" i="18"/>
  <c r="C25" i="18"/>
  <c r="D25" i="18"/>
  <c r="E25" i="18"/>
  <c r="G26" i="18"/>
  <c r="W82" i="9" s="1"/>
  <c r="I26" i="18"/>
  <c r="H27" i="18"/>
  <c r="I27" i="18"/>
  <c r="C31" i="18"/>
  <c r="D31" i="18"/>
  <c r="E31" i="18"/>
  <c r="F31" i="18"/>
  <c r="G31" i="18"/>
  <c r="H31" i="18"/>
  <c r="I31" i="18"/>
  <c r="J31" i="18"/>
  <c r="C43" i="18"/>
  <c r="D43" i="18"/>
  <c r="A44" i="18"/>
  <c r="I44" i="18"/>
  <c r="J44" i="18"/>
  <c r="G45" i="18"/>
  <c r="H45" i="18"/>
  <c r="I45" i="18"/>
  <c r="J45" i="18"/>
  <c r="G46" i="18"/>
  <c r="H46" i="18"/>
  <c r="I46" i="18"/>
  <c r="J46" i="18"/>
  <c r="A47" i="18"/>
  <c r="G47" i="18"/>
  <c r="H47" i="18"/>
  <c r="I47" i="18"/>
  <c r="F48" i="18"/>
  <c r="C49" i="18"/>
  <c r="D49" i="18"/>
  <c r="E49" i="18"/>
  <c r="F51" i="18"/>
  <c r="H52" i="18"/>
  <c r="I52" i="18"/>
  <c r="I49" i="18" s="1"/>
  <c r="J52" i="18"/>
  <c r="J49" i="18" s="1"/>
  <c r="F56" i="18"/>
  <c r="C57" i="18"/>
  <c r="D57" i="18"/>
  <c r="E57" i="18"/>
  <c r="G57" i="18"/>
  <c r="H57" i="18"/>
  <c r="I57" i="18"/>
  <c r="J57" i="18"/>
  <c r="F58" i="18"/>
  <c r="F59" i="18"/>
  <c r="F60" i="18"/>
  <c r="C61" i="18"/>
  <c r="D61" i="18"/>
  <c r="E61" i="18"/>
  <c r="G61" i="18"/>
  <c r="H61" i="18"/>
  <c r="I61" i="18"/>
  <c r="J61" i="18"/>
  <c r="F62" i="18"/>
  <c r="F63" i="18"/>
  <c r="F64" i="18"/>
  <c r="F65" i="18"/>
  <c r="F66" i="18"/>
  <c r="F68" i="18"/>
  <c r="C69" i="18"/>
  <c r="D69" i="18"/>
  <c r="E69" i="18"/>
  <c r="G69" i="18"/>
  <c r="H69" i="18"/>
  <c r="I69" i="18"/>
  <c r="J69" i="18"/>
  <c r="F70" i="18"/>
  <c r="F71" i="18"/>
  <c r="F72" i="18"/>
  <c r="C73" i="18"/>
  <c r="D73" i="18"/>
  <c r="E73" i="18"/>
  <c r="E67" i="18" s="1"/>
  <c r="G73" i="18"/>
  <c r="G67" i="18" s="1"/>
  <c r="H73" i="18"/>
  <c r="I73" i="18"/>
  <c r="J73" i="18"/>
  <c r="F74" i="18"/>
  <c r="F75" i="18"/>
  <c r="F76" i="18"/>
  <c r="F77" i="18"/>
  <c r="F79" i="18"/>
  <c r="F8" i="19"/>
  <c r="F9" i="19"/>
  <c r="F10" i="19"/>
  <c r="F11" i="19"/>
  <c r="F17" i="19"/>
  <c r="F18" i="19"/>
  <c r="G19" i="19"/>
  <c r="H19" i="19"/>
  <c r="I19" i="19"/>
  <c r="J19" i="19"/>
  <c r="F20" i="19"/>
  <c r="F22" i="19"/>
  <c r="F23" i="19"/>
  <c r="F24" i="19"/>
  <c r="C26" i="19"/>
  <c r="D26" i="19"/>
  <c r="E26" i="19"/>
  <c r="G26" i="19"/>
  <c r="H26" i="19"/>
  <c r="F26" i="19" s="1"/>
  <c r="I26" i="19"/>
  <c r="J26" i="19"/>
  <c r="F28" i="19"/>
  <c r="C30" i="19"/>
  <c r="D30" i="19"/>
  <c r="E30" i="19"/>
  <c r="C7" i="2"/>
  <c r="D7" i="2"/>
  <c r="E7" i="2"/>
  <c r="I7" i="2"/>
  <c r="J7" i="2"/>
  <c r="H7" i="2"/>
  <c r="I7" i="18"/>
  <c r="J7" i="18"/>
  <c r="F9" i="2"/>
  <c r="F13" i="2"/>
  <c r="G41" i="10" s="1"/>
  <c r="F16" i="2"/>
  <c r="F17" i="2"/>
  <c r="F18" i="2"/>
  <c r="N18" i="2" s="1"/>
  <c r="F20" i="2"/>
  <c r="F21" i="2"/>
  <c r="M21" i="2"/>
  <c r="C22" i="2"/>
  <c r="C14" i="2" s="1"/>
  <c r="C33" i="2" s="1"/>
  <c r="D22" i="2"/>
  <c r="D14" i="2" s="1"/>
  <c r="D47" i="14" s="1"/>
  <c r="E22" i="2"/>
  <c r="E14" i="2" s="1"/>
  <c r="G23" i="2"/>
  <c r="G22" i="2" s="1"/>
  <c r="H23" i="2"/>
  <c r="O23" i="2"/>
  <c r="P23" i="2"/>
  <c r="R23" i="2"/>
  <c r="F24" i="2"/>
  <c r="F25" i="2"/>
  <c r="F27" i="2"/>
  <c r="F28" i="2"/>
  <c r="G29" i="2"/>
  <c r="H29" i="2"/>
  <c r="I29" i="2"/>
  <c r="J29" i="2"/>
  <c r="F32" i="2"/>
  <c r="D33" i="2"/>
  <c r="D48" i="14" s="1"/>
  <c r="F35" i="2"/>
  <c r="C36" i="2"/>
  <c r="C34" i="2" s="1"/>
  <c r="C119" i="2" s="1"/>
  <c r="D36" i="2"/>
  <c r="D34" i="2" s="1"/>
  <c r="E36" i="2"/>
  <c r="E34" i="2" s="1"/>
  <c r="F37" i="2"/>
  <c r="F38" i="2"/>
  <c r="F40" i="2"/>
  <c r="F41" i="2"/>
  <c r="F42" i="2"/>
  <c r="F43" i="2"/>
  <c r="M49" i="2"/>
  <c r="F50" i="2"/>
  <c r="G51" i="2"/>
  <c r="H51" i="2"/>
  <c r="I51" i="2"/>
  <c r="J51" i="2"/>
  <c r="F52" i="2"/>
  <c r="N53" i="2" s="1"/>
  <c r="M52" i="2"/>
  <c r="N52" i="2"/>
  <c r="M54" i="2"/>
  <c r="F59" i="2"/>
  <c r="F60" i="2"/>
  <c r="F61" i="2"/>
  <c r="F62" i="2"/>
  <c r="F63" i="2"/>
  <c r="C64" i="2"/>
  <c r="F64" i="2"/>
  <c r="F65" i="2"/>
  <c r="C66" i="2"/>
  <c r="D66" i="2"/>
  <c r="D44" i="2" s="1"/>
  <c r="E66" i="2"/>
  <c r="E44" i="2" s="1"/>
  <c r="G66" i="2"/>
  <c r="H66" i="2"/>
  <c r="I66" i="2"/>
  <c r="J66" i="2"/>
  <c r="F67" i="2"/>
  <c r="F68" i="2"/>
  <c r="F69" i="2"/>
  <c r="F70" i="2"/>
  <c r="F71" i="2"/>
  <c r="M71" i="2" s="1"/>
  <c r="N71" i="2"/>
  <c r="O71" i="2"/>
  <c r="P71" i="2"/>
  <c r="Q71" i="2"/>
  <c r="R71" i="2"/>
  <c r="F72" i="2"/>
  <c r="C73" i="2"/>
  <c r="C50" i="14" s="1"/>
  <c r="G73" i="2"/>
  <c r="H73" i="2"/>
  <c r="I73" i="2"/>
  <c r="J73" i="2"/>
  <c r="F74" i="2"/>
  <c r="F75" i="2"/>
  <c r="F76" i="2"/>
  <c r="F77" i="2"/>
  <c r="F78" i="2"/>
  <c r="F79" i="2"/>
  <c r="F80" i="2"/>
  <c r="F86" i="2"/>
  <c r="C87" i="2"/>
  <c r="C81" i="2" s="1"/>
  <c r="D87" i="2"/>
  <c r="D81" i="2" s="1"/>
  <c r="E87" i="2"/>
  <c r="E81" i="2" s="1"/>
  <c r="G88" i="2"/>
  <c r="H88" i="2"/>
  <c r="I88" i="2"/>
  <c r="J88" i="2"/>
  <c r="G89" i="2"/>
  <c r="W84" i="9" s="1"/>
  <c r="H89" i="2"/>
  <c r="H87" i="2" s="1"/>
  <c r="I89" i="2"/>
  <c r="AA84" i="9" s="1"/>
  <c r="J89" i="2"/>
  <c r="AC84" i="9" s="1"/>
  <c r="F91" i="2"/>
  <c r="Q123" i="2" s="1"/>
  <c r="F96" i="2"/>
  <c r="F97" i="2"/>
  <c r="F98" i="2"/>
  <c r="F99" i="2"/>
  <c r="C100" i="2"/>
  <c r="C118" i="2" s="1"/>
  <c r="C54" i="14" s="1"/>
  <c r="D100" i="2"/>
  <c r="E100" i="2"/>
  <c r="E118" i="2" s="1"/>
  <c r="E54" i="14" s="1"/>
  <c r="G100" i="2"/>
  <c r="H100" i="2"/>
  <c r="H118" i="2" s="1"/>
  <c r="I100" i="2"/>
  <c r="J100" i="2"/>
  <c r="J118" i="2" s="1"/>
  <c r="F102" i="2"/>
  <c r="F103" i="2"/>
  <c r="C104" i="2"/>
  <c r="D104" i="2"/>
  <c r="E104" i="2"/>
  <c r="F113" i="2"/>
  <c r="F114" i="2"/>
  <c r="C117" i="2"/>
  <c r="C53" i="14" s="1"/>
  <c r="D117" i="2"/>
  <c r="E117" i="2"/>
  <c r="E53" i="14" s="1"/>
  <c r="G117" i="2"/>
  <c r="H117" i="2"/>
  <c r="I117" i="2"/>
  <c r="J117" i="2"/>
  <c r="D118" i="2"/>
  <c r="D54" i="14" s="1"/>
  <c r="G118" i="2"/>
  <c r="I118" i="2"/>
  <c r="H124" i="2"/>
  <c r="I124" i="2"/>
  <c r="J124" i="2"/>
  <c r="G19" i="18"/>
  <c r="C129" i="2"/>
  <c r="D129" i="2"/>
  <c r="E129" i="2"/>
  <c r="B46" i="14"/>
  <c r="C46" i="14"/>
  <c r="D12" i="11" s="1"/>
  <c r="D46" i="14"/>
  <c r="E46" i="14"/>
  <c r="F12" i="11" s="1"/>
  <c r="E75" i="14" s="1"/>
  <c r="B47" i="14"/>
  <c r="B48" i="14"/>
  <c r="B49" i="14"/>
  <c r="D49" i="14"/>
  <c r="E49" i="14"/>
  <c r="B50" i="14"/>
  <c r="D50" i="14"/>
  <c r="E50" i="14"/>
  <c r="B51" i="14"/>
  <c r="B52" i="14"/>
  <c r="B53" i="14"/>
  <c r="D53" i="14"/>
  <c r="B54" i="14"/>
  <c r="B55" i="14"/>
  <c r="B56" i="14"/>
  <c r="C56" i="14"/>
  <c r="D56" i="14"/>
  <c r="E56" i="14"/>
  <c r="F56" i="14"/>
  <c r="B57" i="14"/>
  <c r="B58" i="14"/>
  <c r="B60" i="14"/>
  <c r="C60" i="14"/>
  <c r="D60" i="14"/>
  <c r="E60" i="14"/>
  <c r="F60" i="14"/>
  <c r="B61" i="14"/>
  <c r="C61" i="14"/>
  <c r="D61" i="14"/>
  <c r="E61" i="14"/>
  <c r="F61" i="14"/>
  <c r="C62" i="14"/>
  <c r="D62" i="14"/>
  <c r="E62" i="14"/>
  <c r="B63" i="14"/>
  <c r="B64" i="14"/>
  <c r="C64" i="14"/>
  <c r="D64" i="14"/>
  <c r="E64" i="14"/>
  <c r="B65" i="14"/>
  <c r="D67" i="14"/>
  <c r="E67" i="14"/>
  <c r="B71" i="14"/>
  <c r="C71" i="14"/>
  <c r="D71" i="14"/>
  <c r="E71" i="14"/>
  <c r="C75" i="14"/>
  <c r="C81" i="14"/>
  <c r="D81" i="14"/>
  <c r="E81" i="14"/>
  <c r="F81" i="14"/>
  <c r="C84" i="14"/>
  <c r="D84" i="14"/>
  <c r="D87" i="14" s="1"/>
  <c r="E10" i="11" s="1"/>
  <c r="D74" i="14" s="1"/>
  <c r="E84" i="14"/>
  <c r="F84" i="14"/>
  <c r="F87" i="14" s="1"/>
  <c r="G10" i="11" s="1"/>
  <c r="F74" i="14" s="1"/>
  <c r="C87" i="14"/>
  <c r="D10" i="11" s="1"/>
  <c r="C74" i="14" s="1"/>
  <c r="F47" i="18" l="1"/>
  <c r="G8" i="18"/>
  <c r="G6" i="18" s="1"/>
  <c r="O235" i="26"/>
  <c r="G36" i="2"/>
  <c r="O52" i="2"/>
  <c r="O383" i="26"/>
  <c r="O399" i="26" s="1"/>
  <c r="I36" i="2"/>
  <c r="I34" i="2" s="1"/>
  <c r="E258" i="26"/>
  <c r="J87" i="2"/>
  <c r="J81" i="2" s="1"/>
  <c r="I81" i="2"/>
  <c r="I87" i="2"/>
  <c r="F87" i="2" s="1"/>
  <c r="H26" i="18"/>
  <c r="Y82" i="9" s="1"/>
  <c r="W81" i="9"/>
  <c r="J8" i="18"/>
  <c r="N287" i="26"/>
  <c r="O287" i="26" s="1"/>
  <c r="N282" i="26"/>
  <c r="O282" i="26" s="1"/>
  <c r="G87" i="2"/>
  <c r="G81" i="2" s="1"/>
  <c r="E14" i="18"/>
  <c r="I8" i="18"/>
  <c r="I6" i="18" s="1"/>
  <c r="H94" i="2"/>
  <c r="F94" i="2" s="1"/>
  <c r="H34" i="2"/>
  <c r="H55" i="18"/>
  <c r="H8" i="18"/>
  <c r="AC75" i="9"/>
  <c r="AC88" i="9" s="1"/>
  <c r="AA75" i="9"/>
  <c r="AA88" i="9" s="1"/>
  <c r="Y75" i="9"/>
  <c r="Y88" i="9" s="1"/>
  <c r="T77" i="9"/>
  <c r="T68" i="9"/>
  <c r="T65" i="9"/>
  <c r="J36" i="2"/>
  <c r="R123" i="2"/>
  <c r="S123" i="2" s="1"/>
  <c r="E87" i="14"/>
  <c r="L20" i="10"/>
  <c r="J19" i="10"/>
  <c r="J23" i="10" s="1"/>
  <c r="N20" i="10"/>
  <c r="X31" i="9"/>
  <c r="G44" i="18"/>
  <c r="G43" i="18" s="1"/>
  <c r="G42" i="18" s="1"/>
  <c r="G53" i="18" s="1"/>
  <c r="F16" i="3"/>
  <c r="AD29" i="9"/>
  <c r="J6" i="3"/>
  <c r="X27" i="9"/>
  <c r="F11" i="3"/>
  <c r="X26" i="9"/>
  <c r="X40" i="9" s="1"/>
  <c r="G6" i="3"/>
  <c r="V44" i="9"/>
  <c r="L41" i="9"/>
  <c r="V28" i="9"/>
  <c r="J67" i="18"/>
  <c r="H67" i="18"/>
  <c r="D67" i="18"/>
  <c r="C67" i="18"/>
  <c r="F61" i="18"/>
  <c r="J55" i="18"/>
  <c r="I55" i="18"/>
  <c r="E55" i="18"/>
  <c r="D55" i="18"/>
  <c r="D78" i="18" s="1"/>
  <c r="D83" i="18" s="1"/>
  <c r="D69" i="14" s="1"/>
  <c r="C55" i="18"/>
  <c r="F52" i="18"/>
  <c r="F46" i="18"/>
  <c r="F45" i="18"/>
  <c r="J43" i="18"/>
  <c r="J42" i="18" s="1"/>
  <c r="J53" i="18" s="1"/>
  <c r="I43" i="18"/>
  <c r="D42" i="18"/>
  <c r="D53" i="18" s="1"/>
  <c r="F28" i="18"/>
  <c r="F19" i="19"/>
  <c r="F62" i="14" s="1"/>
  <c r="E42" i="18"/>
  <c r="E53" i="18" s="1"/>
  <c r="E21" i="19"/>
  <c r="E63" i="14" s="1"/>
  <c r="M125" i="2"/>
  <c r="N81" i="9"/>
  <c r="N75" i="9"/>
  <c r="N88" i="9" s="1"/>
  <c r="D14" i="18"/>
  <c r="D29" i="18"/>
  <c r="D21" i="19"/>
  <c r="D34" i="19" s="1"/>
  <c r="D65" i="14" s="1"/>
  <c r="E296" i="26"/>
  <c r="F100" i="2"/>
  <c r="J44" i="2"/>
  <c r="F51" i="2"/>
  <c r="F29" i="2"/>
  <c r="I22" i="2"/>
  <c r="H22" i="2"/>
  <c r="H14" i="2" s="1"/>
  <c r="H33" i="2" s="1"/>
  <c r="E119" i="2"/>
  <c r="F88" i="2"/>
  <c r="Y84" i="9"/>
  <c r="T84" i="9"/>
  <c r="F124" i="2"/>
  <c r="O247" i="26"/>
  <c r="O257" i="26" s="1"/>
  <c r="E256" i="26"/>
  <c r="O243" i="26"/>
  <c r="E241" i="26"/>
  <c r="F53" i="2"/>
  <c r="O500" i="26"/>
  <c r="O499" i="26"/>
  <c r="E482" i="26"/>
  <c r="K223" i="26"/>
  <c r="E462" i="26"/>
  <c r="O461" i="26"/>
  <c r="N476" i="26"/>
  <c r="O476" i="26" s="1"/>
  <c r="O483" i="26" s="1"/>
  <c r="E460" i="26"/>
  <c r="E437" i="26"/>
  <c r="E439" i="26"/>
  <c r="O421" i="26"/>
  <c r="O406" i="26"/>
  <c r="O420" i="26" s="1"/>
  <c r="E420" i="26"/>
  <c r="O419" i="26"/>
  <c r="O390" i="26"/>
  <c r="E400" i="26"/>
  <c r="E399" i="26"/>
  <c r="M395" i="26"/>
  <c r="I395" i="26"/>
  <c r="O351" i="26"/>
  <c r="O361" i="26" s="1"/>
  <c r="E361" i="26"/>
  <c r="O360" i="26"/>
  <c r="O315" i="26"/>
  <c r="E297" i="26"/>
  <c r="O297" i="26"/>
  <c r="O271" i="26"/>
  <c r="O278" i="26" s="1"/>
  <c r="O277" i="26"/>
  <c r="O258" i="26"/>
  <c r="O229" i="26"/>
  <c r="E239" i="26"/>
  <c r="O232" i="26"/>
  <c r="K240" i="26"/>
  <c r="N228" i="26"/>
  <c r="O228" i="26" s="1"/>
  <c r="O240" i="26" s="1"/>
  <c r="K241" i="26"/>
  <c r="N231" i="26"/>
  <c r="O231" i="26" s="1"/>
  <c r="O241" i="26" s="1"/>
  <c r="O214" i="26"/>
  <c r="E224" i="26"/>
  <c r="O224" i="26"/>
  <c r="O202" i="26"/>
  <c r="N174" i="26"/>
  <c r="O174" i="26" s="1"/>
  <c r="O184" i="26" s="1"/>
  <c r="K184" i="26"/>
  <c r="O165" i="26"/>
  <c r="N118" i="26"/>
  <c r="M123" i="26"/>
  <c r="N116" i="26"/>
  <c r="O116" i="26" s="1"/>
  <c r="K123" i="26"/>
  <c r="O123" i="26"/>
  <c r="E123" i="26"/>
  <c r="E121" i="26"/>
  <c r="O125" i="26"/>
  <c r="O121" i="26"/>
  <c r="O76" i="26"/>
  <c r="O73" i="26"/>
  <c r="O77" i="26"/>
  <c r="O27" i="26"/>
  <c r="O23" i="26"/>
  <c r="O24" i="26"/>
  <c r="E359" i="26"/>
  <c r="E314" i="26"/>
  <c r="C42" i="18"/>
  <c r="C53" i="18" s="1"/>
  <c r="C14" i="18"/>
  <c r="C21" i="19"/>
  <c r="C116" i="2"/>
  <c r="C51" i="14" s="1"/>
  <c r="C44" i="2"/>
  <c r="C49" i="14" s="1"/>
  <c r="F23" i="18"/>
  <c r="F29" i="19"/>
  <c r="Z40" i="9"/>
  <c r="I6" i="3"/>
  <c r="AB29" i="9"/>
  <c r="AB43" i="9" s="1"/>
  <c r="D95" i="2"/>
  <c r="D116" i="2"/>
  <c r="D51" i="14" s="1"/>
  <c r="D119" i="2"/>
  <c r="F10" i="11"/>
  <c r="E74" i="14" s="1"/>
  <c r="AA82" i="9"/>
  <c r="AA81" i="9" s="1"/>
  <c r="I25" i="18"/>
  <c r="G25" i="19"/>
  <c r="J27" i="18"/>
  <c r="E222" i="26"/>
  <c r="O208" i="26"/>
  <c r="E12" i="11"/>
  <c r="D75" i="14" s="1"/>
  <c r="E33" i="2"/>
  <c r="E95" i="2" s="1"/>
  <c r="H21" i="18"/>
  <c r="H33" i="19" s="1"/>
  <c r="F73" i="18"/>
  <c r="F69" i="18"/>
  <c r="I67" i="18"/>
  <c r="F67" i="18" s="1"/>
  <c r="H78" i="18"/>
  <c r="H7" i="18"/>
  <c r="H6" i="18" s="1"/>
  <c r="AD32" i="9"/>
  <c r="AD43" i="9"/>
  <c r="H19" i="18"/>
  <c r="H20" i="18"/>
  <c r="H31" i="19" s="1"/>
  <c r="H30" i="19" s="1"/>
  <c r="J22" i="2"/>
  <c r="F9" i="18"/>
  <c r="E29" i="18"/>
  <c r="I21" i="18"/>
  <c r="I33" i="19" s="1"/>
  <c r="I44" i="2"/>
  <c r="Z29" i="9"/>
  <c r="Z43" i="9" s="1"/>
  <c r="Z46" i="9" s="1"/>
  <c r="F6" i="3"/>
  <c r="F71" i="14" s="1"/>
  <c r="H44" i="18"/>
  <c r="AD40" i="9"/>
  <c r="T46" i="9"/>
  <c r="C48" i="14"/>
  <c r="C95" i="2"/>
  <c r="F7" i="18"/>
  <c r="L15" i="10"/>
  <c r="N15" i="10"/>
  <c r="J27" i="10"/>
  <c r="G20" i="18"/>
  <c r="G55" i="18"/>
  <c r="D120" i="2"/>
  <c r="F117" i="2"/>
  <c r="F53" i="14" s="1"/>
  <c r="F73" i="2"/>
  <c r="F50" i="14" s="1"/>
  <c r="F54" i="2"/>
  <c r="M127" i="2" s="1"/>
  <c r="F127" i="2"/>
  <c r="H44" i="2"/>
  <c r="N23" i="2"/>
  <c r="I14" i="2"/>
  <c r="G7" i="2"/>
  <c r="F8" i="2"/>
  <c r="E78" i="18"/>
  <c r="F8" i="18"/>
  <c r="C29" i="18"/>
  <c r="F15" i="3"/>
  <c r="N26" i="10"/>
  <c r="J30" i="10"/>
  <c r="O467" i="26"/>
  <c r="E481" i="26"/>
  <c r="J6" i="18"/>
  <c r="F15" i="2"/>
  <c r="C47" i="14"/>
  <c r="C120" i="2"/>
  <c r="F118" i="2"/>
  <c r="F54" i="14" s="1"/>
  <c r="F89" i="2"/>
  <c r="F66" i="2"/>
  <c r="G44" i="2"/>
  <c r="E116" i="2"/>
  <c r="E51" i="14" s="1"/>
  <c r="F26" i="2"/>
  <c r="F23" i="2"/>
  <c r="M23" i="2" s="1"/>
  <c r="E120" i="2"/>
  <c r="E47" i="14"/>
  <c r="I42" i="18"/>
  <c r="I53" i="18" s="1"/>
  <c r="X42" i="9"/>
  <c r="V42" i="9" s="1"/>
  <c r="I19" i="18"/>
  <c r="I20" i="18"/>
  <c r="I31" i="19" s="1"/>
  <c r="I30" i="19" s="1"/>
  <c r="O498" i="26"/>
  <c r="O334" i="26"/>
  <c r="O285" i="26"/>
  <c r="Q88" i="9"/>
  <c r="H49" i="18"/>
  <c r="F49" i="18" s="1"/>
  <c r="Q84" i="9"/>
  <c r="Q81" i="9" s="1"/>
  <c r="K81" i="9"/>
  <c r="AB40" i="9"/>
  <c r="AB46" i="9" s="1"/>
  <c r="R46" i="9"/>
  <c r="X29" i="9"/>
  <c r="F8" i="3"/>
  <c r="O433" i="26"/>
  <c r="O439" i="26" s="1"/>
  <c r="O309" i="26"/>
  <c r="O159" i="26"/>
  <c r="E164" i="26"/>
  <c r="L40" i="9"/>
  <c r="N46" i="9"/>
  <c r="L46" i="9" s="1"/>
  <c r="F57" i="18"/>
  <c r="G27" i="18"/>
  <c r="V31" i="9"/>
  <c r="X45" i="9"/>
  <c r="V45" i="9" s="1"/>
  <c r="L24" i="10"/>
  <c r="O454" i="26"/>
  <c r="O283" i="26"/>
  <c r="E295" i="26"/>
  <c r="O97" i="26"/>
  <c r="G14" i="2"/>
  <c r="G21" i="18"/>
  <c r="T76" i="9"/>
  <c r="E419" i="26"/>
  <c r="E201" i="26"/>
  <c r="AB32" i="9"/>
  <c r="V25" i="9"/>
  <c r="V39" i="9" s="1"/>
  <c r="J26" i="18"/>
  <c r="G25" i="18"/>
  <c r="F10" i="18"/>
  <c r="V27" i="9"/>
  <c r="X41" i="9"/>
  <c r="V41" i="9" s="1"/>
  <c r="N28" i="10"/>
  <c r="L21" i="10"/>
  <c r="N21" i="10"/>
  <c r="G46" i="9"/>
  <c r="L32" i="9"/>
  <c r="H95" i="2" l="1"/>
  <c r="I119" i="2"/>
  <c r="I116" i="2"/>
  <c r="F27" i="18"/>
  <c r="O182" i="26"/>
  <c r="C78" i="18"/>
  <c r="I78" i="18"/>
  <c r="G123" i="2"/>
  <c r="J123" i="2"/>
  <c r="J122" i="2" s="1"/>
  <c r="H123" i="2"/>
  <c r="F36" i="2"/>
  <c r="AD46" i="9"/>
  <c r="H25" i="18"/>
  <c r="O296" i="26"/>
  <c r="Z32" i="9"/>
  <c r="O359" i="26"/>
  <c r="V26" i="9"/>
  <c r="V40" i="9" s="1"/>
  <c r="E34" i="19"/>
  <c r="E65" i="14" s="1"/>
  <c r="O256" i="26"/>
  <c r="H81" i="2"/>
  <c r="F81" i="2" s="1"/>
  <c r="J34" i="2"/>
  <c r="J119" i="2" s="1"/>
  <c r="G34" i="2"/>
  <c r="F34" i="2" s="1"/>
  <c r="O437" i="26"/>
  <c r="F22" i="2"/>
  <c r="D63" i="14"/>
  <c r="O276" i="26"/>
  <c r="F6" i="18"/>
  <c r="Y81" i="9"/>
  <c r="I123" i="2"/>
  <c r="I122" i="2" s="1"/>
  <c r="G122" i="2"/>
  <c r="H122" i="2"/>
  <c r="T75" i="9"/>
  <c r="T88" i="9" s="1"/>
  <c r="E82" i="18"/>
  <c r="N19" i="10"/>
  <c r="D82" i="18"/>
  <c r="J78" i="18"/>
  <c r="J116" i="2"/>
  <c r="H108" i="2"/>
  <c r="H111" i="2" s="1"/>
  <c r="H112" i="2" s="1"/>
  <c r="F19" i="2"/>
  <c r="J14" i="2"/>
  <c r="J120" i="2" s="1"/>
  <c r="J128" i="2" s="1"/>
  <c r="O481" i="26"/>
  <c r="O482" i="26"/>
  <c r="E503" i="26"/>
  <c r="O460" i="26"/>
  <c r="O462" i="26"/>
  <c r="N395" i="26"/>
  <c r="O395" i="26" s="1"/>
  <c r="O295" i="26"/>
  <c r="O314" i="26"/>
  <c r="O316" i="26"/>
  <c r="O239" i="26"/>
  <c r="O223" i="26"/>
  <c r="O222" i="26"/>
  <c r="O201" i="26"/>
  <c r="O203" i="26"/>
  <c r="O164" i="26"/>
  <c r="O166" i="26"/>
  <c r="O103" i="26"/>
  <c r="O107" i="26"/>
  <c r="C34" i="19"/>
  <c r="C65" i="14" s="1"/>
  <c r="C63" i="14"/>
  <c r="L25" i="10"/>
  <c r="N25" i="10"/>
  <c r="J29" i="10"/>
  <c r="AC82" i="9"/>
  <c r="AC81" i="9" s="1"/>
  <c r="J25" i="18"/>
  <c r="J19" i="18"/>
  <c r="J20" i="18"/>
  <c r="F44" i="18"/>
  <c r="H43" i="18"/>
  <c r="J33" i="2"/>
  <c r="J95" i="2" s="1"/>
  <c r="J108" i="2" s="1"/>
  <c r="J111" i="2" s="1"/>
  <c r="G33" i="19"/>
  <c r="I16" i="18"/>
  <c r="H120" i="2"/>
  <c r="L30" i="10"/>
  <c r="N30" i="10"/>
  <c r="F7" i="2"/>
  <c r="G33" i="2"/>
  <c r="G95" i="2" s="1"/>
  <c r="C108" i="2"/>
  <c r="C52" i="14"/>
  <c r="E48" i="14"/>
  <c r="F14" i="2"/>
  <c r="G120" i="2"/>
  <c r="I25" i="19"/>
  <c r="I21" i="19" s="1"/>
  <c r="I34" i="19" s="1"/>
  <c r="I18" i="18"/>
  <c r="F44" i="2"/>
  <c r="I120" i="2"/>
  <c r="I33" i="2"/>
  <c r="I95" i="2" s="1"/>
  <c r="I108" i="2" s="1"/>
  <c r="I111" i="2" s="1"/>
  <c r="F20" i="18"/>
  <c r="G31" i="19"/>
  <c r="E83" i="18"/>
  <c r="E69" i="14" s="1"/>
  <c r="H16" i="18"/>
  <c r="G16" i="18"/>
  <c r="H25" i="19"/>
  <c r="H21" i="19" s="1"/>
  <c r="H34" i="19" s="1"/>
  <c r="H18" i="18"/>
  <c r="C83" i="18"/>
  <c r="C69" i="14" s="1"/>
  <c r="C82" i="18"/>
  <c r="C80" i="14" s="1"/>
  <c r="L27" i="10"/>
  <c r="N27" i="10"/>
  <c r="L19" i="10"/>
  <c r="W88" i="9"/>
  <c r="V29" i="9"/>
  <c r="X43" i="9"/>
  <c r="X32" i="9"/>
  <c r="L23" i="10"/>
  <c r="N23" i="10"/>
  <c r="F19" i="18"/>
  <c r="T82" i="9"/>
  <c r="T81" i="9" s="1"/>
  <c r="J21" i="18"/>
  <c r="J33" i="19" s="1"/>
  <c r="H119" i="2"/>
  <c r="F55" i="18"/>
  <c r="G78" i="18"/>
  <c r="F26" i="18"/>
  <c r="G18" i="18"/>
  <c r="D108" i="2"/>
  <c r="D52" i="14"/>
  <c r="F123" i="2" l="1"/>
  <c r="V32" i="9"/>
  <c r="H116" i="2"/>
  <c r="I128" i="2"/>
  <c r="I129" i="2" s="1"/>
  <c r="F25" i="18"/>
  <c r="F78" i="18"/>
  <c r="G119" i="2"/>
  <c r="H128" i="2"/>
  <c r="G128" i="2"/>
  <c r="M6" i="2"/>
  <c r="V43" i="9"/>
  <c r="V46" i="9" s="1"/>
  <c r="X46" i="9"/>
  <c r="H129" i="2"/>
  <c r="F49" i="14"/>
  <c r="J31" i="19"/>
  <c r="J30" i="19" s="1"/>
  <c r="J16" i="18"/>
  <c r="O400" i="26"/>
  <c r="O398" i="26"/>
  <c r="O503" i="26" s="1"/>
  <c r="I112" i="2"/>
  <c r="E108" i="2"/>
  <c r="E52" i="14"/>
  <c r="J129" i="2"/>
  <c r="D80" i="14"/>
  <c r="D68" i="14"/>
  <c r="F128" i="2"/>
  <c r="J112" i="2"/>
  <c r="G129" i="2"/>
  <c r="F122" i="2"/>
  <c r="F47" i="14"/>
  <c r="C55" i="14"/>
  <c r="C111" i="2"/>
  <c r="H42" i="18"/>
  <c r="H53" i="18" s="1"/>
  <c r="F53" i="18" s="1"/>
  <c r="F43" i="18"/>
  <c r="F42" i="18" s="1"/>
  <c r="J25" i="19"/>
  <c r="J21" i="19" s="1"/>
  <c r="J34" i="19" s="1"/>
  <c r="J18" i="18"/>
  <c r="J14" i="18" s="1"/>
  <c r="J29" i="18" s="1"/>
  <c r="J83" i="18" s="1"/>
  <c r="H14" i="18"/>
  <c r="H29" i="18" s="1"/>
  <c r="G116" i="2"/>
  <c r="F116" i="2" s="1"/>
  <c r="F51" i="14" s="1"/>
  <c r="F120" i="2"/>
  <c r="F126" i="2"/>
  <c r="F33" i="19"/>
  <c r="F64" i="14" s="1"/>
  <c r="F16" i="18"/>
  <c r="G14" i="18"/>
  <c r="F80" i="18"/>
  <c r="E68" i="14"/>
  <c r="E80" i="14"/>
  <c r="G108" i="2"/>
  <c r="G111" i="2" s="1"/>
  <c r="F21" i="18"/>
  <c r="L29" i="10"/>
  <c r="N29" i="10"/>
  <c r="D111" i="2"/>
  <c r="D55" i="14"/>
  <c r="F31" i="19"/>
  <c r="G30" i="19"/>
  <c r="F33" i="2"/>
  <c r="F46" i="14"/>
  <c r="G12" i="11" s="1"/>
  <c r="F75" i="14" s="1"/>
  <c r="F119" i="2"/>
  <c r="I14" i="18"/>
  <c r="I29" i="18" s="1"/>
  <c r="I83" i="18" s="1"/>
  <c r="M8" i="2"/>
  <c r="F18" i="18" l="1"/>
  <c r="H83" i="18"/>
  <c r="M126" i="2"/>
  <c r="M120" i="2"/>
  <c r="D112" i="2"/>
  <c r="D15" i="19"/>
  <c r="D57" i="14"/>
  <c r="G112" i="2"/>
  <c r="F112" i="2" s="1"/>
  <c r="F111" i="2"/>
  <c r="F57" i="14" s="1"/>
  <c r="C15" i="19"/>
  <c r="C57" i="14"/>
  <c r="C112" i="2"/>
  <c r="F25" i="19"/>
  <c r="E111" i="2"/>
  <c r="E112" i="2" s="1"/>
  <c r="E55" i="14"/>
  <c r="F129" i="2"/>
  <c r="F95" i="2"/>
  <c r="F48" i="14"/>
  <c r="F30" i="19"/>
  <c r="G21" i="19"/>
  <c r="F14" i="18"/>
  <c r="G29" i="18"/>
  <c r="G80" i="18"/>
  <c r="D7" i="11" l="1"/>
  <c r="C73" i="14" s="1"/>
  <c r="D8" i="11"/>
  <c r="C58" i="14" s="1"/>
  <c r="F108" i="2"/>
  <c r="F55" i="14" s="1"/>
  <c r="F52" i="14"/>
  <c r="E57" i="14"/>
  <c r="E15" i="19"/>
  <c r="G7" i="19" s="1"/>
  <c r="F7" i="19" s="1"/>
  <c r="F21" i="19"/>
  <c r="F63" i="14" s="1"/>
  <c r="G34" i="19"/>
  <c r="F34" i="19" s="1"/>
  <c r="F65" i="14" s="1"/>
  <c r="M112" i="2"/>
  <c r="G82" i="18"/>
  <c r="H80" i="18" s="1"/>
  <c r="F67" i="14"/>
  <c r="G83" i="18"/>
  <c r="G84" i="18" s="1"/>
  <c r="F29" i="18"/>
  <c r="F82" i="18" s="1"/>
  <c r="F83" i="18" s="1"/>
  <c r="F69" i="14" s="1"/>
  <c r="E7" i="11"/>
  <c r="D73" i="14" s="1"/>
  <c r="E8" i="11"/>
  <c r="D58" i="14" s="1"/>
  <c r="G7" i="11"/>
  <c r="F73" i="14" s="1"/>
  <c r="G8" i="11"/>
  <c r="F58" i="14" s="1"/>
  <c r="F8" i="11" l="1"/>
  <c r="E58" i="14" s="1"/>
  <c r="F7" i="11"/>
  <c r="E73" i="14" s="1"/>
  <c r="G15" i="19"/>
  <c r="H7" i="19" s="1"/>
  <c r="H15" i="19" s="1"/>
  <c r="I7" i="19" s="1"/>
  <c r="I15" i="19" s="1"/>
  <c r="J7" i="19" s="1"/>
  <c r="J15" i="19" s="1"/>
  <c r="F15" i="19" s="1"/>
  <c r="H82" i="18"/>
  <c r="I80" i="18" s="1"/>
  <c r="H84" i="18"/>
  <c r="I84" i="18" l="1"/>
  <c r="I82" i="18"/>
  <c r="J80" i="18" s="1"/>
  <c r="J84" i="18" l="1"/>
  <c r="J82" i="18"/>
  <c r="F68" i="14" l="1"/>
  <c r="F80" i="14"/>
</calcChain>
</file>

<file path=xl/comments1.xml><?xml version="1.0" encoding="utf-8"?>
<comments xmlns="http://schemas.openxmlformats.org/spreadsheetml/2006/main">
  <authors>
    <author>Берестівська В.С.</author>
  </authors>
  <commentList>
    <comment ref="A47" authorId="0" shapeId="0">
      <text>
        <r>
          <rPr>
            <b/>
            <sz val="9"/>
            <color indexed="81"/>
            <rFont val="Tahoma"/>
            <family val="2"/>
            <charset val="204"/>
          </rPr>
          <t>Берестівська В.С.:</t>
        </r>
        <r>
          <rPr>
            <sz val="9"/>
            <color indexed="81"/>
            <rFont val="Tahoma"/>
            <family val="2"/>
            <charset val="204"/>
          </rPr>
          <t xml:space="preserve">
</t>
        </r>
      </text>
    </comment>
  </commentList>
</comments>
</file>

<file path=xl/sharedStrings.xml><?xml version="1.0" encoding="utf-8"?>
<sst xmlns="http://schemas.openxmlformats.org/spreadsheetml/2006/main" count="1900" uniqueCount="774">
  <si>
    <t>Код рядка</t>
  </si>
  <si>
    <t>Фінансовий результат від операційної діяльності</t>
  </si>
  <si>
    <t>Витрати на оплату праці</t>
  </si>
  <si>
    <t>Відрахування на соціальні заходи</t>
  </si>
  <si>
    <t>Амортизація</t>
  </si>
  <si>
    <t>за ЗКГНГ</t>
  </si>
  <si>
    <t>за СПОДУ</t>
  </si>
  <si>
    <t xml:space="preserve">за  КВЕД  </t>
  </si>
  <si>
    <t xml:space="preserve">Місцезнаходження  </t>
  </si>
  <si>
    <t xml:space="preserve">Телефон </t>
  </si>
  <si>
    <t xml:space="preserve">Прізвище та ініціали керівника  </t>
  </si>
  <si>
    <t xml:space="preserve">Організаційно-правова форма </t>
  </si>
  <si>
    <t xml:space="preserve">Вид економічної діяльності    </t>
  </si>
  <si>
    <t xml:space="preserve">Галузь     </t>
  </si>
  <si>
    <t xml:space="preserve">Код рядка </t>
  </si>
  <si>
    <t>Усього доходів</t>
  </si>
  <si>
    <t>Територія</t>
  </si>
  <si>
    <t>Плановий рік (усього)</t>
  </si>
  <si>
    <t xml:space="preserve">прибуток </t>
  </si>
  <si>
    <t>збиток</t>
  </si>
  <si>
    <t>Резервний фонд</t>
  </si>
  <si>
    <t>витрати на паливо та енергію</t>
  </si>
  <si>
    <t>Інші операційні витрати</t>
  </si>
  <si>
    <t>Факт минулого року</t>
  </si>
  <si>
    <t>Виручка від реалізації основних фондів</t>
  </si>
  <si>
    <t>на початок періоду</t>
  </si>
  <si>
    <t>Чистий грошовий потік</t>
  </si>
  <si>
    <t>Забезпечення</t>
  </si>
  <si>
    <t>х</t>
  </si>
  <si>
    <t>Фінансовий план поточного року</t>
  </si>
  <si>
    <t>витрати на оплату праці</t>
  </si>
  <si>
    <t>відрахування на соціальні заходи</t>
  </si>
  <si>
    <t>послуги з оцінки майна</t>
  </si>
  <si>
    <t>витрати на охорону праці загальногосподарського персоналу</t>
  </si>
  <si>
    <t xml:space="preserve">витрати на підвищення кваліфікації та перепідготовку кадрів </t>
  </si>
  <si>
    <t>витрати на поліпшення основних фондів</t>
  </si>
  <si>
    <t>відрахування до резерву сумнівних боргів</t>
  </si>
  <si>
    <t>№ з/п</t>
  </si>
  <si>
    <t>на кінець періоду</t>
  </si>
  <si>
    <t>Залучення кредитних коштів</t>
  </si>
  <si>
    <t>Усього</t>
  </si>
  <si>
    <t>Відсоток</t>
  </si>
  <si>
    <t>Залишок нерозподіленого прибутку (непокритого збитку) на початок звітного періоду</t>
  </si>
  <si>
    <t>Залишок нерозподіленого прибутку (непокритого збитку) на кінець звітного періоду</t>
  </si>
  <si>
    <t>відрахування до недержавних пенсійних фондів</t>
  </si>
  <si>
    <t>амортизація основних засобів і нематеріальних активів</t>
  </si>
  <si>
    <t>консультаційні та інформаційні послуги</t>
  </si>
  <si>
    <t>План поточного року</t>
  </si>
  <si>
    <t>Зобов'язання</t>
  </si>
  <si>
    <t xml:space="preserve">Сума, валюта за договорами </t>
  </si>
  <si>
    <t>Процентна ставка</t>
  </si>
  <si>
    <t>Розвиток виробництва</t>
  </si>
  <si>
    <t>витрати на благодійну допомогу</t>
  </si>
  <si>
    <r>
      <t xml:space="preserve">Орган державного управління  </t>
    </r>
    <r>
      <rPr>
        <b/>
        <i/>
        <sz val="14"/>
        <rFont val="Times New Roman"/>
        <family val="1"/>
        <charset val="204"/>
      </rPr>
      <t xml:space="preserve"> </t>
    </r>
  </si>
  <si>
    <t xml:space="preserve">Вид кредитного продукту та цільове призначення </t>
  </si>
  <si>
    <t xml:space="preserve">ІV </t>
  </si>
  <si>
    <t xml:space="preserve">ІІІ </t>
  </si>
  <si>
    <t xml:space="preserve">І </t>
  </si>
  <si>
    <t xml:space="preserve">ІІ </t>
  </si>
  <si>
    <t>(посада)</t>
  </si>
  <si>
    <t>(підпис)</t>
  </si>
  <si>
    <t>витрати на рекламу</t>
  </si>
  <si>
    <t>рік</t>
  </si>
  <si>
    <t>Капітальні інвестиції, усього,
у тому числі:</t>
  </si>
  <si>
    <t>податок на доходи фізичних осіб</t>
  </si>
  <si>
    <t xml:space="preserve">Єдиний внесок на загальнообов'язкове державне соціальне страхування                              </t>
  </si>
  <si>
    <t>акцизний податок</t>
  </si>
  <si>
    <t>Заборгованість на останню дату</t>
  </si>
  <si>
    <t>Заборгованість за кредитами на початок ______ року</t>
  </si>
  <si>
    <t>Заборгованість за кредитами на кінець ______ року</t>
  </si>
  <si>
    <t>Бюджетне фінансування</t>
  </si>
  <si>
    <t>інші платежі (розшифрувати)</t>
  </si>
  <si>
    <t xml:space="preserve">      1. Дані про підприємство, персонал та фонд заробітної плати</t>
  </si>
  <si>
    <t>у тому числі за кварталами</t>
  </si>
  <si>
    <t>Фінансовий результат до оподаткування</t>
  </si>
  <si>
    <t>Чистий  фінансовий результат, у тому числі:</t>
  </si>
  <si>
    <t>І. Формування фінансових результатів</t>
  </si>
  <si>
    <t>плата за користування надрами</t>
  </si>
  <si>
    <t>Оптимальне значення</t>
  </si>
  <si>
    <t>Планові показники</t>
  </si>
  <si>
    <t>Примітки</t>
  </si>
  <si>
    <t>&gt; 0</t>
  </si>
  <si>
    <t xml:space="preserve">         (ініціали, прізвище)    </t>
  </si>
  <si>
    <t>у тому числі:</t>
  </si>
  <si>
    <t>рентна плата за транспортування</t>
  </si>
  <si>
    <t>_____________________________</t>
  </si>
  <si>
    <t>Середньооблікова кількість штатних працівників</t>
  </si>
  <si>
    <t>Усього витрат</t>
  </si>
  <si>
    <t>Інформація</t>
  </si>
  <si>
    <t>Найменування  банку</t>
  </si>
  <si>
    <t>(ініціали, прізвище)</t>
  </si>
  <si>
    <t xml:space="preserve">ЗАТВЕРДЖЕНО  </t>
  </si>
  <si>
    <t>за КОАТУУ</t>
  </si>
  <si>
    <t>за КОПФГ</t>
  </si>
  <si>
    <t xml:space="preserve">за ЄДРПОУ </t>
  </si>
  <si>
    <t>у тому числі за основними видами діяльності за КВЕД</t>
  </si>
  <si>
    <t>(найменування підприємства)</t>
  </si>
  <si>
    <t>План минулого року</t>
  </si>
  <si>
    <t>Плановий рік</t>
  </si>
  <si>
    <t>Витрати на збут</t>
  </si>
  <si>
    <t>Витрати (дохід) з податку на прибуток</t>
  </si>
  <si>
    <t xml:space="preserve">Прибуток (збиток) від  припиненої діяльності після оподаткування </t>
  </si>
  <si>
    <t>Адміністративні витрати</t>
  </si>
  <si>
    <t>Інші операційні доходи/витрати</t>
  </si>
  <si>
    <t>Доходи/витрати від фінансової та інвестиційної діяльності</t>
  </si>
  <si>
    <t>Необоротні активи</t>
  </si>
  <si>
    <t>Оборотні активи</t>
  </si>
  <si>
    <t>Власний капітал</t>
  </si>
  <si>
    <t>Розподіл чистого прибутку</t>
  </si>
  <si>
    <t xml:space="preserve">Нараховані до сплати обов'язкові платежі підприємства до бюджету та єдиний внесок на загальнообов'язкове державне соціальне страхування </t>
  </si>
  <si>
    <t>ІІІ. Рух грошових коштів</t>
  </si>
  <si>
    <t>Податок на прибуток підприємств</t>
  </si>
  <si>
    <t>IІ. Розрахунки з бюджетом</t>
  </si>
  <si>
    <t>Прогноз на поточний рік</t>
  </si>
  <si>
    <t>Довгострокові зобов'язання і забезпечення</t>
  </si>
  <si>
    <t>Поточні зобов'язання і забезпечення</t>
  </si>
  <si>
    <t>погашення податкового боргу, у тому числі:</t>
  </si>
  <si>
    <t>Собівартість реалізованої продукції (товарів, робіт, послуг)</t>
  </si>
  <si>
    <t>&gt; 1</t>
  </si>
  <si>
    <t>транспортні витрати</t>
  </si>
  <si>
    <t>витрати на зберігання та упаковку</t>
  </si>
  <si>
    <t>Коефіцієнти рентабельності та прибутковості</t>
  </si>
  <si>
    <t>Коефіцієнти фінансової стійкості та ліквідності</t>
  </si>
  <si>
    <t xml:space="preserve">У тому числі за кварталами </t>
  </si>
  <si>
    <t xml:space="preserve">І  </t>
  </si>
  <si>
    <t xml:space="preserve">ІІ  </t>
  </si>
  <si>
    <t xml:space="preserve">ІІІ  </t>
  </si>
  <si>
    <t>Перенесено з додаткового капіталу</t>
  </si>
  <si>
    <t>Марка</t>
  </si>
  <si>
    <t>Рік придбання</t>
  </si>
  <si>
    <t>Витрати, усього</t>
  </si>
  <si>
    <t>матеріальні витрати</t>
  </si>
  <si>
    <t>оплата праці</t>
  </si>
  <si>
    <t>амортизація</t>
  </si>
  <si>
    <t>інші витрати</t>
  </si>
  <si>
    <t>Договір</t>
  </si>
  <si>
    <t>Дата початку оренди</t>
  </si>
  <si>
    <t>Сума орендної плати</t>
  </si>
  <si>
    <t>Усього на рік</t>
  </si>
  <si>
    <t>Основні фінансові показники</t>
  </si>
  <si>
    <t>Чистий дохід від реалізації продукції (товарів, робіт, послуг)</t>
  </si>
  <si>
    <t>№</t>
  </si>
  <si>
    <t>Загальна кошторисна вартість</t>
  </si>
  <si>
    <t>Первісна балансова вартість введених потужностей на початок планового року</t>
  </si>
  <si>
    <t>Капітальні інвестиції</t>
  </si>
  <si>
    <t>IV. Капітальні інвестиції</t>
  </si>
  <si>
    <t xml:space="preserve">IV. Капітальні інвестиції </t>
  </si>
  <si>
    <t>VI. Звіт про фінансовий стан</t>
  </si>
  <si>
    <t>V. Коефіцієнтний аналіз</t>
  </si>
  <si>
    <t>курсові різниці</t>
  </si>
  <si>
    <t>4010</t>
  </si>
  <si>
    <t>Витрати на збут, у тому числі:</t>
  </si>
  <si>
    <t>Чистий  фінансовий результат</t>
  </si>
  <si>
    <t>Коефіцієнт рентабельності діяльності</t>
  </si>
  <si>
    <t>2120 / 2130</t>
  </si>
  <si>
    <t>Інші доходи/витрати</t>
  </si>
  <si>
    <t>Пояснення та обґрунтування до запланованого рівня доходів/витрат</t>
  </si>
  <si>
    <t>Елементи операційних витрат</t>
  </si>
  <si>
    <t>тис. гривень (без ПДВ)</t>
  </si>
  <si>
    <t>Найменування об’єкта</t>
  </si>
  <si>
    <t xml:space="preserve">                                (посада)</t>
  </si>
  <si>
    <t>_________________________</t>
  </si>
  <si>
    <t>____________________________________________</t>
  </si>
  <si>
    <t>Коди</t>
  </si>
  <si>
    <t>Неконтрольована частка</t>
  </si>
  <si>
    <t>директор</t>
  </si>
  <si>
    <t>працівники</t>
  </si>
  <si>
    <t>Найменування показника</t>
  </si>
  <si>
    <t>Дивіденди/відрахування частини чистого прибутку</t>
  </si>
  <si>
    <t>Усього виплат на користь держави</t>
  </si>
  <si>
    <t>у тому числі грошові кошти та їх еквіваленти</t>
  </si>
  <si>
    <t>у тому числі державні гранти і субсидії</t>
  </si>
  <si>
    <t>у тому числі фінансові запозичення</t>
  </si>
  <si>
    <t>Усього зобов'язання і забезпечення</t>
  </si>
  <si>
    <t>Усього активи</t>
  </si>
  <si>
    <t>Доходи і витрати (деталізація)</t>
  </si>
  <si>
    <t>Плановий рік до плану поточного року, %</t>
  </si>
  <si>
    <t>Плановий рік до факту минулого року, %</t>
  </si>
  <si>
    <t>адміністративно-управлінський персонал</t>
  </si>
  <si>
    <t>Незавершене будівництво на початок планового року</t>
  </si>
  <si>
    <t>власні кошти</t>
  </si>
  <si>
    <t>кредитні кошти</t>
  </si>
  <si>
    <t>інші джерела (зазначити джерело)</t>
  </si>
  <si>
    <t>Документ, яким затверджений титул будови, із зазначенням органу, який його погодив</t>
  </si>
  <si>
    <t>У тому числі за їх видами</t>
  </si>
  <si>
    <t xml:space="preserve">Найменування об’єктів </t>
  </si>
  <si>
    <t>Одиниця виміру, тис. гривень</t>
  </si>
  <si>
    <t>Валовий прибуток/збиток</t>
  </si>
  <si>
    <t>витрати на сировину та основні матеріали</t>
  </si>
  <si>
    <t>Доходи і витрати (узагальнені показники)</t>
  </si>
  <si>
    <t>Матеріальні витрати, у тому числі:</t>
  </si>
  <si>
    <t>Коефіцієнт фінансової стійкості
(власний капітал, рядок 6090 / довгострокові зобов'язання, рядок 6040 + поточні зобов'язання, рядок 6050)</t>
  </si>
  <si>
    <t>Коефіцієнт поточної ліквідності (покриття)
(оборотні активи, рядок 6010 / поточні зобов'язання, рядок 6050)</t>
  </si>
  <si>
    <t xml:space="preserve"> У разі збільшення витрат на оплату праці в плановому році порівняно з установленим рівнем поточного року та фактом попереднього року надаються обґрунтування. </t>
  </si>
  <si>
    <t>чистий дохід  від реалізації продукції (товарів, робіт, послуг),     тис. гривень</t>
  </si>
  <si>
    <t>ціна одиниці     (вартість  продукції/     наданих послуг), гривень</t>
  </si>
  <si>
    <t>Дата видачі/погашення (графік)</t>
  </si>
  <si>
    <t xml:space="preserve">Довгострокові зобов'язання, усього </t>
  </si>
  <si>
    <t>Короткострокові зобов'язання, усього</t>
  </si>
  <si>
    <t>Інші фінансові зобов'язання, усього</t>
  </si>
  <si>
    <t xml:space="preserve">у тому числі </t>
  </si>
  <si>
    <t>Рік початку                і закінчення будівництва</t>
  </si>
  <si>
    <t>Інформація щодо проектно-кошторисної документації (стан розроблення, затвердження,                                     у разі затвердження зазначити орган, яким затверджено, та відповідний документ)</t>
  </si>
  <si>
    <t xml:space="preserve">               (підпис)</t>
  </si>
  <si>
    <t>Податок на додану вартість, нарахований до сплати до державного бюджету за підсумками звітного періоду</t>
  </si>
  <si>
    <t>Податок на додану вартість, що підлягає відшкодуванню з державного бюджету за підсумками звітного періоду</t>
  </si>
  <si>
    <t>Збільшення</t>
  </si>
  <si>
    <t>Характеризує ефективність використання активів підприємства</t>
  </si>
  <si>
    <t>Характеризує ефективність господарської діяльності підприємства</t>
  </si>
  <si>
    <t>Характеризує співвідношення власних та позикових коштів і залежність підприємства від зовнішніх фінансових джерел</t>
  </si>
  <si>
    <t>Показує достатність ресурсів підприємства, які може бути використано для погашення його поточних зобов'язань.  Нормативним значенням для цього показника є &gt; 1–1,5</t>
  </si>
  <si>
    <t xml:space="preserve">      Загальна інформація про підприємство (резюме)</t>
  </si>
  <si>
    <t>Мета використання</t>
  </si>
  <si>
    <t>освоєння капітальних вкладень</t>
  </si>
  <si>
    <t>фінансування капітальних інвестицій (оплата грошовими коштами), усього</t>
  </si>
  <si>
    <t>М. П.</t>
  </si>
  <si>
    <t>План з повернення коштів</t>
  </si>
  <si>
    <t>План із залучення коштів</t>
  </si>
  <si>
    <t>(    )</t>
  </si>
  <si>
    <t>Коефіцієнт рентабельності активів
(чистий фінансовий результат, рядок 1200 / вартість активів, рядок 6030)</t>
  </si>
  <si>
    <t>Коефіцієнт рентабельності діяльності
(чистий фінансовий результат, рядок 1200 / чистий дохід від реалізації продукції (товарів, робіт, послуг), рядок 1000)</t>
  </si>
  <si>
    <t>Інші податки, збори, обов'язкові платежі до державного та місцевих бюджетів</t>
  </si>
  <si>
    <t xml:space="preserve"> рішенням міськвиконкому                            </t>
  </si>
  <si>
    <t>ПОГОДЖЕНО</t>
  </si>
  <si>
    <t xml:space="preserve">        (підпис)</t>
  </si>
  <si>
    <t xml:space="preserve">  (підпис)</t>
  </si>
  <si>
    <t xml:space="preserve">від "____" __________________ 20    р. </t>
  </si>
  <si>
    <t>Відрахування частини чистого прибутку</t>
  </si>
  <si>
    <r>
      <t>у тому числі:</t>
    </r>
    <r>
      <rPr>
        <i/>
        <sz val="12"/>
        <rFont val="Times New Roman"/>
        <family val="1"/>
        <charset val="204"/>
      </rPr>
      <t xml:space="preserve"> </t>
    </r>
  </si>
  <si>
    <t>в тому числі</t>
  </si>
  <si>
    <t>7</t>
  </si>
  <si>
    <t>8</t>
  </si>
  <si>
    <t>9</t>
  </si>
  <si>
    <t>10</t>
  </si>
  <si>
    <t>Грошові кошти на початок періоду</t>
  </si>
  <si>
    <t xml:space="preserve">      2. Інформація про бізнес підприємства (код рядка 1000 фінансового плану)</t>
  </si>
  <si>
    <t>Перелік доходів від реалізації товарів, робіт, послуг (за видами)</t>
  </si>
  <si>
    <t xml:space="preserve">      3. Діючі фінансові зобов'язання підприємства</t>
  </si>
  <si>
    <t xml:space="preserve">      4. Інформація щодо отримання та повернення залучених коштів</t>
  </si>
  <si>
    <t>ІІ</t>
  </si>
  <si>
    <t>ІІІ</t>
  </si>
  <si>
    <t>УСЬОГО</t>
  </si>
  <si>
    <t>За рахунок амортизаційних відрахувань</t>
  </si>
  <si>
    <t>обласний бюджет</t>
  </si>
  <si>
    <t>державний бюджет</t>
  </si>
  <si>
    <t>Всього</t>
  </si>
  <si>
    <t>%</t>
  </si>
  <si>
    <t>сума</t>
  </si>
  <si>
    <t>Виконавець</t>
  </si>
  <si>
    <t xml:space="preserve">Коефіцієнт рентабельності активів
</t>
  </si>
  <si>
    <t xml:space="preserve">Коефіцієнт фінансової стійкості
</t>
  </si>
  <si>
    <t>5. Витрати, пов'язані з використанням власних службових автомобілів (у складі адміністративних витрат, рядок 1041)</t>
  </si>
  <si>
    <t>6. Витрати на оренду службових автомобілів (у складі адміністративних витрат, рядок 1042)</t>
  </si>
  <si>
    <t>7. Джерела капітальних інвестицій</t>
  </si>
  <si>
    <t>8. Капітальне будівництво (рядок 4010 таблиці 4)</t>
  </si>
  <si>
    <t>9.План використання бюджетних коштів</t>
  </si>
  <si>
    <t>продовження</t>
  </si>
  <si>
    <t>Код
рядка</t>
  </si>
  <si>
    <t>Факт
минулого
року</t>
  </si>
  <si>
    <t>Фінансовий
план
поточного
року</t>
  </si>
  <si>
    <t>в тому числі по кварталам</t>
  </si>
  <si>
    <t>Отримання короткострокових кредитів</t>
  </si>
  <si>
    <t>Надходження грошових коштів від інвестиційної діяльності</t>
  </si>
  <si>
    <t>Виручка від реалізації нематеріальних активів</t>
  </si>
  <si>
    <t>Надходження від продажу акцій та облігацій</t>
  </si>
  <si>
    <t>Надходження грошових коштів від фінансової діяльності</t>
  </si>
  <si>
    <t>Розрахунки за товари, роботи та послуги</t>
  </si>
  <si>
    <t>Розрахунки з оплати праці</t>
  </si>
  <si>
    <t>Повернення короткострокових кредитів</t>
  </si>
  <si>
    <t>Видатки грошових коштів інвестиційної діяльності</t>
  </si>
  <si>
    <t>Видатки грошових коштів фінансової діяльності</t>
  </si>
  <si>
    <t>______________________</t>
  </si>
  <si>
    <t>(ПІБ)</t>
  </si>
  <si>
    <t>Головний бухгалтер</t>
  </si>
  <si>
    <t>3000</t>
  </si>
  <si>
    <t>3010</t>
  </si>
  <si>
    <t>3020</t>
  </si>
  <si>
    <t>3030</t>
  </si>
  <si>
    <t>3040</t>
  </si>
  <si>
    <t>Чистий рух грошових коштів операційної діяльності</t>
  </si>
  <si>
    <t>3060</t>
  </si>
  <si>
    <t>3070</t>
  </si>
  <si>
    <t>3080</t>
  </si>
  <si>
    <t>3090</t>
  </si>
  <si>
    <t>3100</t>
  </si>
  <si>
    <t>3110</t>
  </si>
  <si>
    <t>3120</t>
  </si>
  <si>
    <t>Видатки грошових коштів операційної діяльності</t>
  </si>
  <si>
    <t>Надходження грошових коштів від операційної діяльності</t>
  </si>
  <si>
    <t>3200</t>
  </si>
  <si>
    <t>3210</t>
  </si>
  <si>
    <t>3220</t>
  </si>
  <si>
    <t>3230</t>
  </si>
  <si>
    <t>3240</t>
  </si>
  <si>
    <t>в тому числі:</t>
  </si>
  <si>
    <t>внески до статутного капіталу (розшифрувати)</t>
  </si>
  <si>
    <t xml:space="preserve">інші надходження (розшифрувати) </t>
  </si>
  <si>
    <t xml:space="preserve">Придбання акцій та облігацій  </t>
  </si>
  <si>
    <t>3250</t>
  </si>
  <si>
    <t>3260</t>
  </si>
  <si>
    <t>3270</t>
  </si>
  <si>
    <t>3280</t>
  </si>
  <si>
    <t>3290</t>
  </si>
  <si>
    <t>3300</t>
  </si>
  <si>
    <r>
      <t xml:space="preserve">Придбання (створення) основних засобів, в тому числі за рахунок внесків до статутного капіталу </t>
    </r>
    <r>
      <rPr>
        <i/>
        <sz val="12"/>
        <rFont val="Times New Roman"/>
        <family val="1"/>
        <charset val="204"/>
      </rPr>
      <t>(розшифрувати)</t>
    </r>
  </si>
  <si>
    <r>
      <t xml:space="preserve">Інші витрати </t>
    </r>
    <r>
      <rPr>
        <i/>
        <sz val="12"/>
        <rFont val="Times New Roman"/>
        <family val="1"/>
        <charset val="204"/>
      </rPr>
      <t>(розшифрувати)</t>
    </r>
  </si>
  <si>
    <r>
      <t>Інші надходження</t>
    </r>
    <r>
      <rPr>
        <i/>
        <sz val="12"/>
        <rFont val="Times New Roman"/>
        <family val="1"/>
        <charset val="204"/>
      </rPr>
      <t xml:space="preserve"> (розшифрувати)</t>
    </r>
  </si>
  <si>
    <t>3310</t>
  </si>
  <si>
    <t>Чистий рух грошових коштів інвестиційної діяльності</t>
  </si>
  <si>
    <t>Власного капіталу</t>
  </si>
  <si>
    <t>3400</t>
  </si>
  <si>
    <t>кредити</t>
  </si>
  <si>
    <t xml:space="preserve">позики </t>
  </si>
  <si>
    <t>облігації</t>
  </si>
  <si>
    <r>
      <t xml:space="preserve">Цільове фінансування </t>
    </r>
    <r>
      <rPr>
        <i/>
        <sz val="12"/>
        <rFont val="Times New Roman"/>
        <family val="1"/>
        <charset val="204"/>
      </rPr>
      <t xml:space="preserve"> (розшифрувати)</t>
    </r>
  </si>
  <si>
    <r>
      <t>Інші надходження</t>
    </r>
    <r>
      <rPr>
        <i/>
        <sz val="12"/>
        <rFont val="Times New Roman"/>
        <family val="1"/>
        <charset val="204"/>
      </rPr>
      <t xml:space="preserve"> (розшифрувати) </t>
    </r>
  </si>
  <si>
    <t>Сплата дивідендів на комунальну частку/відрахувань частини чистого прибутку</t>
  </si>
  <si>
    <t>3410</t>
  </si>
  <si>
    <t>3420</t>
  </si>
  <si>
    <t>3430</t>
  </si>
  <si>
    <t>3420/1</t>
  </si>
  <si>
    <t>3420/2</t>
  </si>
  <si>
    <t>3420/3</t>
  </si>
  <si>
    <t>3430/1</t>
  </si>
  <si>
    <t>3430/2</t>
  </si>
  <si>
    <t>3430/3</t>
  </si>
  <si>
    <t>3440</t>
  </si>
  <si>
    <t>3450</t>
  </si>
  <si>
    <t>Чистий рух коштів від фінансової діяльності </t>
  </si>
  <si>
    <t>3460</t>
  </si>
  <si>
    <t>3470</t>
  </si>
  <si>
    <t>3480</t>
  </si>
  <si>
    <t>3480/1</t>
  </si>
  <si>
    <t>3480/2</t>
  </si>
  <si>
    <t>3480/3</t>
  </si>
  <si>
    <t>3490</t>
  </si>
  <si>
    <t>3490/1</t>
  </si>
  <si>
    <t>3490/2</t>
  </si>
  <si>
    <t>3490/3</t>
  </si>
  <si>
    <t>3500</t>
  </si>
  <si>
    <t>3510</t>
  </si>
  <si>
    <t>Грошові кошти:</t>
  </si>
  <si>
    <t xml:space="preserve">Вплив зміни валютних курсів на залишок коштів </t>
  </si>
  <si>
    <t>3600</t>
  </si>
  <si>
    <t>3610</t>
  </si>
  <si>
    <t>3620</t>
  </si>
  <si>
    <t>3630</t>
  </si>
  <si>
    <t>Характеризує ефективність використання основних засобів</t>
  </si>
  <si>
    <t>Фондовіддача (вартість виробленої продукції/балансова вартість основних виробничих фондів)відношення вартості виробленої продукції до первісної середньорічної вартості основних виробничих фондів</t>
  </si>
  <si>
    <t xml:space="preserve"> одиниця виміру</t>
  </si>
  <si>
    <t>кількість продукції/             наданих послуг</t>
  </si>
  <si>
    <r>
      <t xml:space="preserve">Середньооблікова чисельність осіб, </t>
    </r>
    <r>
      <rPr>
        <i/>
        <sz val="14"/>
        <rFont val="Times New Roman"/>
        <family val="1"/>
        <charset val="204"/>
      </rPr>
      <t>у тому числі:</t>
    </r>
  </si>
  <si>
    <r>
      <t xml:space="preserve">Фонд оплати праці, тис. гривень, </t>
    </r>
    <r>
      <rPr>
        <i/>
        <sz val="14"/>
        <rFont val="Times New Roman"/>
        <family val="1"/>
        <charset val="204"/>
      </rPr>
      <t>у тому числі:</t>
    </r>
  </si>
  <si>
    <r>
      <t xml:space="preserve">Середньомісячна заробітна плата одного працівника, </t>
    </r>
    <r>
      <rPr>
        <i/>
        <sz val="14"/>
        <rFont val="Times New Roman"/>
        <family val="1"/>
        <charset val="204"/>
      </rPr>
      <t>гривень</t>
    </r>
  </si>
  <si>
    <r>
      <t xml:space="preserve">Середньомісячний дохід одного працівника, </t>
    </r>
    <r>
      <rPr>
        <i/>
        <sz val="14"/>
        <rFont val="Times New Roman"/>
        <family val="1"/>
        <charset val="204"/>
      </rPr>
      <t>гривень</t>
    </r>
  </si>
  <si>
    <t>Показник фондовіддачі</t>
  </si>
  <si>
    <t>Грошові кошти на кінець періоду</t>
  </si>
  <si>
    <r>
      <t>Адміністративні витрати,</t>
    </r>
    <r>
      <rPr>
        <sz val="14"/>
        <rFont val="Times New Roman"/>
        <family val="1"/>
        <charset val="204"/>
      </rPr>
      <t xml:space="preserve"> у тому числі:</t>
    </r>
  </si>
  <si>
    <t xml:space="preserve">   витрати на сировину та основні матеріали</t>
  </si>
  <si>
    <t xml:space="preserve">   витрати на паливо </t>
  </si>
  <si>
    <t xml:space="preserve">   витрати на електроенергію</t>
  </si>
  <si>
    <t xml:space="preserve">   витрати на оплату праці</t>
  </si>
  <si>
    <t xml:space="preserve">   відрахування на соціальні заходи</t>
  </si>
  <si>
    <t xml:space="preserve">   амортизація основних засобів і нематеріальних активів</t>
  </si>
  <si>
    <r>
      <t xml:space="preserve">  інші витрати </t>
    </r>
    <r>
      <rPr>
        <i/>
        <sz val="12"/>
        <rFont val="Times New Roman"/>
        <family val="1"/>
        <charset val="204"/>
      </rPr>
      <t>(розшифрувати)</t>
    </r>
  </si>
  <si>
    <r>
      <t>Собівартість реалізованої продукції (товарів, робіт, послуг)</t>
    </r>
    <r>
      <rPr>
        <i/>
        <sz val="12"/>
        <rFont val="Times New Roman"/>
        <family val="1"/>
        <charset val="204"/>
      </rPr>
      <t xml:space="preserve"> (розшифрувати)</t>
    </r>
  </si>
  <si>
    <r>
      <t xml:space="preserve">Чистий дохід від реалізації продукції (товарів, робіт, послуг) </t>
    </r>
    <r>
      <rPr>
        <i/>
        <sz val="12"/>
        <rFont val="Times New Roman"/>
        <family val="1"/>
        <charset val="204"/>
      </rPr>
      <t>(розшифрувати)</t>
    </r>
  </si>
  <si>
    <r>
      <t>Інші операційні доходи</t>
    </r>
    <r>
      <rPr>
        <sz val="14"/>
        <rFont val="Times New Roman"/>
        <family val="1"/>
        <charset val="204"/>
      </rPr>
      <t xml:space="preserve"> </t>
    </r>
    <r>
      <rPr>
        <i/>
        <sz val="12"/>
        <rFont val="Times New Roman"/>
        <family val="1"/>
        <charset val="204"/>
      </rPr>
      <t>(розшифрувати)</t>
    </r>
    <r>
      <rPr>
        <sz val="12"/>
        <rFont val="Times New Roman"/>
        <family val="1"/>
        <charset val="204"/>
      </rPr>
      <t>,</t>
    </r>
    <r>
      <rPr>
        <sz val="14"/>
        <rFont val="Times New Roman"/>
        <family val="1"/>
        <charset val="204"/>
      </rPr>
      <t xml:space="preserve"> </t>
    </r>
    <r>
      <rPr>
        <sz val="12"/>
        <rFont val="Times New Roman"/>
        <family val="1"/>
        <charset val="204"/>
      </rPr>
      <t>у тому числі:</t>
    </r>
  </si>
  <si>
    <r>
      <t xml:space="preserve">витрати на утримання основних фондів, інших необоротних активів загальногосподарського використання, </t>
    </r>
    <r>
      <rPr>
        <sz val="12"/>
        <rFont val="Times New Roman"/>
        <family val="1"/>
        <charset val="204"/>
      </rPr>
      <t xml:space="preserve"> у тому числі:</t>
    </r>
  </si>
  <si>
    <r>
      <t>інші адміністративні витрати</t>
    </r>
    <r>
      <rPr>
        <sz val="12"/>
        <rFont val="Times New Roman"/>
        <family val="1"/>
        <charset val="204"/>
      </rPr>
      <t xml:space="preserve"> </t>
    </r>
    <r>
      <rPr>
        <i/>
        <sz val="12"/>
        <rFont val="Times New Roman"/>
        <family val="1"/>
        <charset val="204"/>
      </rPr>
      <t>(розшифрувати)</t>
    </r>
  </si>
  <si>
    <r>
      <t>Інші операційні витрати усього,</t>
    </r>
    <r>
      <rPr>
        <sz val="14"/>
        <rFont val="Times New Roman"/>
        <family val="1"/>
        <charset val="204"/>
      </rPr>
      <t xml:space="preserve"> у тому числі:</t>
    </r>
  </si>
  <si>
    <r>
      <t xml:space="preserve">Дохід від участі в капіталі </t>
    </r>
    <r>
      <rPr>
        <i/>
        <sz val="12"/>
        <rFont val="Times New Roman"/>
        <family val="1"/>
        <charset val="204"/>
      </rPr>
      <t>(розшифрувати)</t>
    </r>
  </si>
  <si>
    <t xml:space="preserve">  витрати, пов'язані з використанням власних службових автомобілів</t>
  </si>
  <si>
    <t xml:space="preserve">   витрати на оренду службових автомобілів</t>
  </si>
  <si>
    <t xml:space="preserve">   витрати на консалтингові послуги</t>
  </si>
  <si>
    <t xml:space="preserve">   витрати на страхові послуги</t>
  </si>
  <si>
    <t xml:space="preserve">   витрати на аудиторські послуги</t>
  </si>
  <si>
    <t xml:space="preserve">   витрати на зв’язок</t>
  </si>
  <si>
    <t xml:space="preserve">   витрати на службові відрядження</t>
  </si>
  <si>
    <t xml:space="preserve">   витрати на страхування загальногосподарського персоналу</t>
  </si>
  <si>
    <t xml:space="preserve">   організаційно-технічні послуги </t>
  </si>
  <si>
    <r>
      <t xml:space="preserve">Податок на додану вартість нарахований/до відшкодування </t>
    </r>
    <r>
      <rPr>
        <sz val="12"/>
        <rFont val="Times New Roman"/>
        <family val="1"/>
        <charset val="204"/>
      </rPr>
      <t>(з мінусом)</t>
    </r>
  </si>
  <si>
    <t xml:space="preserve">   амортизація основних засобів і нематеріальних активів загальногосподарсь-кого призначення</t>
  </si>
  <si>
    <r>
      <t>Втрати від участі в капіталі</t>
    </r>
    <r>
      <rPr>
        <i/>
        <sz val="14"/>
        <rFont val="Times New Roman"/>
        <family val="1"/>
        <charset val="204"/>
      </rPr>
      <t xml:space="preserve"> </t>
    </r>
    <r>
      <rPr>
        <i/>
        <sz val="12"/>
        <rFont val="Times New Roman"/>
        <family val="1"/>
        <charset val="204"/>
      </rPr>
      <t>(розшифрувати)</t>
    </r>
  </si>
  <si>
    <r>
      <t xml:space="preserve">Інші витрати </t>
    </r>
    <r>
      <rPr>
        <i/>
        <sz val="12"/>
        <rFont val="Times New Roman"/>
        <family val="1"/>
        <charset val="204"/>
      </rPr>
      <t>(розшифрувати),</t>
    </r>
    <r>
      <rPr>
        <sz val="14"/>
        <rFont val="Times New Roman"/>
        <family val="1"/>
        <charset val="204"/>
      </rPr>
      <t xml:space="preserve"> у тому числі:</t>
    </r>
  </si>
  <si>
    <r>
      <t xml:space="preserve">Інші операційні доходи/витрати
</t>
    </r>
    <r>
      <rPr>
        <sz val="11"/>
        <rFont val="Times New Roman"/>
        <family val="1"/>
        <charset val="204"/>
      </rPr>
      <t>(рядок 1030 - рядок 1080)</t>
    </r>
  </si>
  <si>
    <r>
      <t xml:space="preserve">Інші доходи/витрати
</t>
    </r>
    <r>
      <rPr>
        <sz val="11"/>
        <rFont val="Times New Roman"/>
        <family val="1"/>
        <charset val="204"/>
      </rPr>
      <t>(рядок 1150 - рядок 1160)</t>
    </r>
  </si>
  <si>
    <r>
      <t>Фінансові витрати</t>
    </r>
    <r>
      <rPr>
        <i/>
        <sz val="14"/>
        <rFont val="Times New Roman"/>
        <family val="1"/>
        <charset val="204"/>
      </rPr>
      <t xml:space="preserve"> </t>
    </r>
    <r>
      <rPr>
        <i/>
        <sz val="11"/>
        <rFont val="Times New Roman"/>
        <family val="1"/>
        <charset val="204"/>
      </rPr>
      <t>(розшифрувати)</t>
    </r>
  </si>
  <si>
    <r>
      <t>Інші доходи</t>
    </r>
    <r>
      <rPr>
        <b/>
        <sz val="12"/>
        <rFont val="Times New Roman"/>
        <family val="1"/>
        <charset val="204"/>
      </rPr>
      <t xml:space="preserve"> </t>
    </r>
    <r>
      <rPr>
        <i/>
        <sz val="11"/>
        <rFont val="Times New Roman"/>
        <family val="1"/>
        <charset val="204"/>
      </rPr>
      <t>(розшифрувати)</t>
    </r>
    <r>
      <rPr>
        <b/>
        <sz val="14"/>
        <rFont val="Times New Roman"/>
        <family val="1"/>
        <charset val="204"/>
      </rPr>
      <t xml:space="preserve">, </t>
    </r>
    <r>
      <rPr>
        <sz val="14"/>
        <rFont val="Times New Roman"/>
        <family val="1"/>
        <charset val="204"/>
      </rPr>
      <t>у тому числі:</t>
    </r>
  </si>
  <si>
    <r>
      <t>Валовий прибуток</t>
    </r>
    <r>
      <rPr>
        <b/>
        <sz val="12"/>
        <rFont val="Times New Roman"/>
        <family val="1"/>
        <charset val="204"/>
      </rPr>
      <t xml:space="preserve"> (збиток)</t>
    </r>
  </si>
  <si>
    <r>
      <t xml:space="preserve">Доходи/витрати від фінансової та інвестиційної діяльності </t>
    </r>
    <r>
      <rPr>
        <sz val="11"/>
        <rFont val="Times New Roman"/>
        <family val="1"/>
        <charset val="204"/>
      </rPr>
      <t>(рядок 1110 + рядок 1120 - рядок 1130 - рядок 1140)</t>
    </r>
  </si>
  <si>
    <t xml:space="preserve">   витрати на операційну оренду основних засобів та роялті, що мають загальногос-подарське призначення</t>
  </si>
  <si>
    <t xml:space="preserve">Єдиний внесок на загальнообов'язко-ве державне соціальне страхування                              </t>
  </si>
  <si>
    <r>
      <t xml:space="preserve">Інші поточні податки, збори, обов'язкові платежі до державного та місцевих бюджетів, </t>
    </r>
    <r>
      <rPr>
        <sz val="14"/>
        <rFont val="Times New Roman"/>
        <family val="1"/>
        <charset val="204"/>
      </rPr>
      <t>у тому числі:</t>
    </r>
  </si>
  <si>
    <r>
      <t xml:space="preserve">Інші фонди </t>
    </r>
    <r>
      <rPr>
        <sz val="11"/>
        <rFont val="Times New Roman"/>
        <family val="1"/>
        <charset val="204"/>
      </rPr>
      <t>(розшифрувати)</t>
    </r>
  </si>
  <si>
    <r>
      <t>Інші цілі</t>
    </r>
    <r>
      <rPr>
        <sz val="11"/>
        <rFont val="Times New Roman"/>
        <family val="1"/>
        <charset val="204"/>
      </rPr>
      <t xml:space="preserve"> (розшифрувати)</t>
    </r>
  </si>
  <si>
    <r>
      <t xml:space="preserve">Цільове фінансування </t>
    </r>
    <r>
      <rPr>
        <i/>
        <sz val="11"/>
        <rFont val="Times New Roman"/>
        <family val="1"/>
        <charset val="204"/>
      </rPr>
      <t>(розшифрувати)</t>
    </r>
  </si>
  <si>
    <r>
      <t xml:space="preserve">Отримання коштів  за довгостроко-вими зобов'язаннями, </t>
    </r>
    <r>
      <rPr>
        <i/>
        <sz val="12"/>
        <rFont val="Times New Roman"/>
        <family val="1"/>
        <charset val="204"/>
      </rPr>
      <t>у тому числі:</t>
    </r>
  </si>
  <si>
    <r>
      <t xml:space="preserve">Повернення коштів  за довгостроко-вими зобов'язаннями, </t>
    </r>
    <r>
      <rPr>
        <i/>
        <sz val="12"/>
        <rFont val="Times New Roman"/>
        <family val="1"/>
        <charset val="204"/>
      </rPr>
      <t>у тому числі:</t>
    </r>
  </si>
  <si>
    <r>
      <t>Витрати на оплату праці, тис. гривень,</t>
    </r>
    <r>
      <rPr>
        <i/>
        <sz val="11"/>
        <rFont val="Times New Roman"/>
        <family val="1"/>
        <charset val="204"/>
      </rPr>
      <t xml:space="preserve"> у тому числі:</t>
    </r>
  </si>
  <si>
    <t>від "__" _________ 20     р. № ____</t>
  </si>
  <si>
    <t xml:space="preserve">           (ініціали, прізвище)    </t>
  </si>
  <si>
    <t>І. Рух коштів у результаті операційної діяльності</t>
  </si>
  <si>
    <t>ІІ. Рух коштів у результаті інвестиційної діяльності</t>
  </si>
  <si>
    <t>ІІІ. Рух коштів у результаті фінансової діяльності</t>
  </si>
  <si>
    <t>Надходження від отриманих:</t>
  </si>
  <si>
    <t xml:space="preserve"> відсотків </t>
  </si>
  <si>
    <t xml:space="preserve"> дивідендів</t>
  </si>
  <si>
    <t>3260/1</t>
  </si>
  <si>
    <t>3260/2</t>
  </si>
  <si>
    <t>3320</t>
  </si>
  <si>
    <t>3320/1</t>
  </si>
  <si>
    <t>3320/2</t>
  </si>
  <si>
    <t>3330</t>
  </si>
  <si>
    <r>
      <t>внески до статутного капіталу</t>
    </r>
    <r>
      <rPr>
        <i/>
        <sz val="11"/>
        <rFont val="Times New Roman"/>
        <family val="1"/>
        <charset val="204"/>
      </rPr>
      <t xml:space="preserve"> (розшифрувати)</t>
    </r>
  </si>
  <si>
    <r>
      <t>інші витрати на збут</t>
    </r>
    <r>
      <rPr>
        <sz val="12"/>
        <rFont val="Times New Roman"/>
        <family val="1"/>
        <charset val="204"/>
      </rPr>
      <t xml:space="preserve"> </t>
    </r>
    <r>
      <rPr>
        <i/>
        <sz val="12"/>
        <rFont val="Times New Roman"/>
        <family val="1"/>
        <charset val="204"/>
      </rPr>
      <t>(розшифрувати)</t>
    </r>
  </si>
  <si>
    <t>Провідний економіст</t>
  </si>
  <si>
    <t>Статистик медичний</t>
  </si>
  <si>
    <t>Лікар-інтерн</t>
  </si>
  <si>
    <t>1000/1</t>
  </si>
  <si>
    <t>1000/2</t>
  </si>
  <si>
    <t>1000/3</t>
  </si>
  <si>
    <t>1000/4</t>
  </si>
  <si>
    <t>Гардеробник</t>
  </si>
  <si>
    <t>1018/1</t>
  </si>
  <si>
    <t>Витрати на проїздні квитки</t>
  </si>
  <si>
    <t>Послуги звязку та інтернет</t>
  </si>
  <si>
    <t>Витрати на вакцини</t>
  </si>
  <si>
    <t>Інші витрати на придбання мат.цінностей</t>
  </si>
  <si>
    <t>Витрати на комунальні послуги</t>
  </si>
  <si>
    <t>1062/1</t>
  </si>
  <si>
    <t>1062/2</t>
  </si>
  <si>
    <t>витрати на придбання мат.цінностей</t>
  </si>
  <si>
    <t>1062/3</t>
  </si>
  <si>
    <t>Комунальне підприємство "Центр первинної медико-санітарної допомоги"Житомирської міської ради</t>
  </si>
  <si>
    <t>к-ть</t>
  </si>
  <si>
    <t>Відшкодування вартості медикаментів та технічних засобів КПКВК 0712152</t>
  </si>
  <si>
    <t>1018/2</t>
  </si>
  <si>
    <t>1018/3</t>
  </si>
  <si>
    <t>1018/4</t>
  </si>
  <si>
    <t>1018/6</t>
  </si>
  <si>
    <t>1018/7</t>
  </si>
  <si>
    <t>Підприємство: Комунальне підприємство "Центр первинної медико-санітарної допомоги"Житомирської міської ради</t>
  </si>
  <si>
    <t>Комунальне підприємство</t>
  </si>
  <si>
    <t>Житомирська міська рада</t>
  </si>
  <si>
    <t>охорона здоров'я</t>
  </si>
  <si>
    <t>загальна медична практика</t>
  </si>
  <si>
    <t>86.21</t>
  </si>
  <si>
    <t>м.Житомир м-н Визволення буд.1</t>
  </si>
  <si>
    <t>Військовий збір</t>
  </si>
  <si>
    <t>2147/1</t>
  </si>
  <si>
    <t>3020/1</t>
  </si>
  <si>
    <t>3020/2</t>
  </si>
  <si>
    <t>3100/1</t>
  </si>
  <si>
    <t>3100/2</t>
  </si>
  <si>
    <t>3100/3</t>
  </si>
  <si>
    <t>Медична субвенція</t>
  </si>
  <si>
    <r>
      <t xml:space="preserve">Отримання коштів за короткостро-ковими зобов'язаннями, </t>
    </r>
    <r>
      <rPr>
        <i/>
        <sz val="12"/>
        <rFont val="Times New Roman"/>
        <family val="1"/>
        <charset val="204"/>
      </rPr>
      <t>у тому числі:</t>
    </r>
  </si>
  <si>
    <t>1062/4</t>
  </si>
  <si>
    <t>підписка періодичних видань</t>
  </si>
  <si>
    <t>надходження коштів</t>
  </si>
  <si>
    <t xml:space="preserve">використання коштів </t>
  </si>
  <si>
    <r>
      <t xml:space="preserve"> надходження коштів </t>
    </r>
    <r>
      <rPr>
        <i/>
        <sz val="11"/>
        <rFont val="Times New Roman"/>
        <family val="1"/>
        <charset val="204"/>
      </rPr>
      <t>(на оплату енергоносіїв)</t>
    </r>
  </si>
  <si>
    <r>
      <t xml:space="preserve">використання коштів </t>
    </r>
    <r>
      <rPr>
        <i/>
        <sz val="11"/>
        <rFont val="Times New Roman"/>
        <family val="1"/>
        <charset val="204"/>
      </rPr>
      <t>(розшифрувати)</t>
    </r>
  </si>
  <si>
    <t>медична субвенція КПКВК 071211</t>
  </si>
  <si>
    <t xml:space="preserve">   витрати, що здійснюються для підтримання об’єкта в робочому стані (проведення ремонту, технічного огляду, нагляду, обслуговування тощо)</t>
  </si>
  <si>
    <t>0</t>
  </si>
  <si>
    <t>Надходження з МБ на енергоносії</t>
  </si>
  <si>
    <t>безоплатне та пільгове забезпечення лікарськими засобами</t>
  </si>
  <si>
    <t>медичне забезпечення хворих на орфанні захворювання,реципієнтів органів та окремих груп населення.</t>
  </si>
  <si>
    <t>Надходження з  МБ на енергоносії та комунальні послуги</t>
  </si>
  <si>
    <t>Витрати на програмне забезпечення та його обслуговування</t>
  </si>
  <si>
    <t>3280/1</t>
  </si>
  <si>
    <t>3280/2</t>
  </si>
  <si>
    <t>безоплатно передані оборотні активи</t>
  </si>
  <si>
    <t>1150/1</t>
  </si>
  <si>
    <t>дохід від амортизації безоплатно отриманих основних засобів</t>
  </si>
  <si>
    <t>1150/2</t>
  </si>
  <si>
    <t>витрати від амортизації безоплатно отриманих основних засобів</t>
  </si>
  <si>
    <t>1160/1</t>
  </si>
  <si>
    <r>
      <t>Платежі до бюджету</t>
    </r>
    <r>
      <rPr>
        <i/>
        <sz val="12"/>
        <rFont val="Times New Roman"/>
        <family val="1"/>
        <charset val="204"/>
      </rPr>
      <t xml:space="preserve"> (розшифрувати)</t>
    </r>
  </si>
  <si>
    <r>
      <t xml:space="preserve"> використання коштів</t>
    </r>
    <r>
      <rPr>
        <b/>
        <i/>
        <sz val="11"/>
        <rFont val="Times New Roman"/>
        <family val="1"/>
        <charset val="204"/>
      </rPr>
      <t xml:space="preserve"> </t>
    </r>
  </si>
  <si>
    <t>юридичні послуги (послуги нотаріуса тощо)</t>
  </si>
  <si>
    <t>Заступник головного бухгалтера</t>
  </si>
  <si>
    <t>Фахівець з питань цивільного захисту</t>
  </si>
  <si>
    <t>Оператор інформаційно-комунікаційних мереж</t>
  </si>
  <si>
    <t>Менеджер з адміністративної діяльності</t>
  </si>
  <si>
    <t>Диспетчер автомобільного транспорту</t>
  </si>
  <si>
    <t>Бухгалтер</t>
  </si>
  <si>
    <t>Слюсар з ремонту колісних транспортних засобів</t>
  </si>
  <si>
    <t>Підсобний робітник</t>
  </si>
  <si>
    <t>Прибиральник службових приміщень</t>
  </si>
  <si>
    <t>відшкодування вартості медикаментів пільговим категоріям населення КПКВК0712111</t>
  </si>
  <si>
    <r>
      <t>надходження коштів</t>
    </r>
    <r>
      <rPr>
        <i/>
        <sz val="11"/>
        <rFont val="Times New Roman"/>
        <family val="1"/>
        <charset val="204"/>
      </rPr>
      <t xml:space="preserve"> КПКВК0712152 (безоплатне та пільгове забезпечення лікарськими засобами)</t>
    </r>
  </si>
  <si>
    <t>1018/5</t>
  </si>
  <si>
    <t>3110/1</t>
  </si>
  <si>
    <t>1062/6</t>
  </si>
  <si>
    <t>1000/5</t>
  </si>
  <si>
    <t>Надходження з місцевого бюджету КПКВК0712111</t>
  </si>
  <si>
    <t>Надходження з місцевого бюджету КПКВК 0712152</t>
  </si>
  <si>
    <t>Відрахування частини чистого прибутку до місцевого бюджету</t>
  </si>
  <si>
    <t>місцевий бюджет</t>
  </si>
  <si>
    <t>1018/8</t>
  </si>
  <si>
    <t>1018/9</t>
  </si>
  <si>
    <t>оплата енергоносіїв та комунальних послуг</t>
  </si>
  <si>
    <t>Завідувач амбулаторії</t>
  </si>
  <si>
    <t>Лікар-статистик</t>
  </si>
  <si>
    <t>Статистик</t>
  </si>
  <si>
    <t>Реєстратор медичний</t>
  </si>
  <si>
    <t>Маляр</t>
  </si>
  <si>
    <t>Надходженя від платних послуг</t>
  </si>
  <si>
    <t>Інші надходження (% банку, чорноб. відпустка, виплати ФСС, тощо)</t>
  </si>
  <si>
    <t>3100/4</t>
  </si>
  <si>
    <t>ПДВ</t>
  </si>
  <si>
    <r>
      <t xml:space="preserve">модернізація, модифікація (добудова, дообладнання, реконструкція) основних засобів </t>
    </r>
    <r>
      <rPr>
        <i/>
        <sz val="12"/>
        <rFont val="Times New Roman"/>
        <family val="1"/>
        <charset val="204"/>
      </rPr>
      <t xml:space="preserve"> </t>
    </r>
  </si>
  <si>
    <r>
      <t xml:space="preserve">Капітальне будівництво, в тому числі за рахунок внесків до статутного капіталу </t>
    </r>
    <r>
      <rPr>
        <i/>
        <sz val="12"/>
        <rFont val="Times New Roman"/>
        <family val="1"/>
        <charset val="204"/>
      </rPr>
      <t xml:space="preserve">(розшифрувати)  </t>
    </r>
  </si>
  <si>
    <t xml:space="preserve">Відшкодування вартості медикаментів, витрати на придбання підгузників та калоприймачів, тощо </t>
  </si>
  <si>
    <t>Директор</t>
  </si>
  <si>
    <t>Медичний директор</t>
  </si>
  <si>
    <t>Фахівець з публічних закупівель</t>
  </si>
  <si>
    <t>Л.В. Чернецька</t>
  </si>
  <si>
    <t>Завідувач господарства</t>
  </si>
  <si>
    <t>Фахівець з інформаційних технологій</t>
  </si>
  <si>
    <t>Технік з метрології</t>
  </si>
  <si>
    <r>
      <t>Інші фінансові доходи</t>
    </r>
    <r>
      <rPr>
        <i/>
        <sz val="12"/>
        <rFont val="Times New Roman"/>
        <family val="1"/>
        <charset val="204"/>
      </rPr>
      <t xml:space="preserve"> (% банку)</t>
    </r>
  </si>
  <si>
    <t>інші доходи (сума страхового відшкодування, тощо)</t>
  </si>
  <si>
    <t>1160/2</t>
  </si>
  <si>
    <t>3110/2</t>
  </si>
  <si>
    <r>
      <t xml:space="preserve">інші витрати придбання (виготовлення) </t>
    </r>
    <r>
      <rPr>
        <b/>
        <i/>
        <sz val="12"/>
        <rFont val="Times New Roman"/>
        <family val="1"/>
        <charset val="204"/>
      </rPr>
      <t>інших необоротних</t>
    </r>
    <r>
      <rPr>
        <i/>
        <sz val="12"/>
        <rFont val="Times New Roman"/>
        <family val="1"/>
        <charset val="204"/>
      </rPr>
      <t xml:space="preserve"> матеріальних активів  (меблі, вироби медичного призначення)</t>
    </r>
  </si>
  <si>
    <t xml:space="preserve">придбання (виготовлення) основних засобів </t>
  </si>
  <si>
    <t>надходження коштів з місцевого бюджету на реалізацію заходу Цільової програми розвитку охорони здоров’я ЖМОТГ на 2018-2020 роки "Придбання засобів індивідуального захисту, медичного обладнання, дезинфікуючих засобів, засобів діагностики та лікування тощо" та "Видатки на оплату проїзду працівників закладів охорони здоров’я та інші заходи щодо підтримки комунальних підприємств медичної галузі, пов’язані із запобіганням розповсюдженню COVID-19</t>
  </si>
  <si>
    <t>надходження коштів з місцевого бюджету на реалізацію заходу Цільової програми розвитку охорони здоров’я ЖМОТГ на 2018-2020 роки "Придбання засобів індивідуального захисту, медичного обладнання, дезинфікуючих засобів, засобів діагностики та лікування тощо за рахунок коштів резервного фонду"</t>
  </si>
  <si>
    <t>витрачання коштів з місцевого бюджету на реалізацію заходу Цільової програми розвитку охорони здоров’я ЖМОТГ на 2018-2020 роки "Придбання засобів індивідуального захисту, медичного обладнання, дезинфікуючих засобів, засобів діагностики та лікування тощо" та "Видатки на оплату проїзду працівників закладів охорони здоров’я та інші заходи щодо підтримки комунальних підприємств медичної галузі, пов’язані із запобіганням розповсюдженню COVID-19</t>
  </si>
  <si>
    <t>витрачання коштів з місцевого бюджету на реалізацію заходу Цільової програми розвитку охорони здоров’я ЖМОТГ на 2018-2020 роки "Придбання засобів індивідуального захисту, медичного обладнання, дезинфікуючих засобів, засобів діагностики та лікування тощо за рахунок коштів резервного фонду"</t>
  </si>
  <si>
    <t>Надходження з місцевого бюджету  на енергоносії та комунальні послуги</t>
  </si>
  <si>
    <t xml:space="preserve">   витрати на страхування майна загальногосподарського призначення</t>
  </si>
  <si>
    <t>3100/5</t>
  </si>
  <si>
    <t>Земельний податок</t>
  </si>
  <si>
    <t>місцеві податки та збори (земельний податок)</t>
  </si>
  <si>
    <t>інші послуги (тех.підтримка вебсайту, розрахунково-касове обслуговування, тощо)</t>
  </si>
  <si>
    <t>Інші витрачання (розрахунково-касове обслуг., штрафи та пені, витрати на відрядження, тощо)</t>
  </si>
  <si>
    <t>капітальне будівництво (капітальні ремонти приміщень АЗПСМ в т.ч. санвузлів</t>
  </si>
  <si>
    <t>5,1</t>
  </si>
  <si>
    <t>Перший заступник міського голови з питань діяльності виконавчих органів ради</t>
  </si>
  <si>
    <r>
      <t>Виручка від реалізації товарів робіт, послуг(</t>
    </r>
    <r>
      <rPr>
        <sz val="11"/>
        <rFont val="Times New Roman"/>
        <family val="1"/>
        <charset val="204"/>
      </rPr>
      <t>надходження від НСЗУ, надходження від платних послуг)</t>
    </r>
  </si>
  <si>
    <t>Інші витрати (земельний податок)</t>
  </si>
  <si>
    <t>Надходження з місцевого бюджету на реалізацію заходів цільових програм розвитку об’єднаної територіальної громади</t>
  </si>
  <si>
    <r>
      <t xml:space="preserve">придбання (виготовлення) інших необоротних матеріальних активів </t>
    </r>
    <r>
      <rPr>
        <i/>
        <sz val="12"/>
        <rFont val="Times New Roman"/>
        <family val="1"/>
        <charset val="204"/>
      </rPr>
      <t xml:space="preserve"> (меблі, вироби медичного призначення, тощо)</t>
    </r>
  </si>
  <si>
    <t xml:space="preserve">надходження коштів від НСЗУ за договором «ВАКЦИНАЦІЯ ВІД ГОСТРОЇ РЕСПІРАТОРНОЇ ХВОРОБИ COVID-19, СПРИЧИНЕНОЇ КОРОНАВІРУСОМ SARS-COV-2» </t>
  </si>
  <si>
    <t>памперси</t>
  </si>
  <si>
    <t>харчування</t>
  </si>
  <si>
    <t>вакцини</t>
  </si>
  <si>
    <t>калоприймачіта сечоприймачі</t>
  </si>
  <si>
    <t>безоплатно отримані вакцини та препарати для ДОТ та ЗПТ кабінетів</t>
  </si>
  <si>
    <t>В.о. начальника управління охорони здоров'я Житомирської міської ради</t>
  </si>
  <si>
    <t>другий</t>
  </si>
  <si>
    <t>б/кат</t>
  </si>
  <si>
    <t>Працівник з господарської діяльності</t>
  </si>
  <si>
    <t>Сестра медична старша/брат медичний старший</t>
  </si>
  <si>
    <t>вища</t>
  </si>
  <si>
    <t>друга</t>
  </si>
  <si>
    <r>
      <t>капітальне будівництво</t>
    </r>
    <r>
      <rPr>
        <i/>
        <sz val="12"/>
        <rFont val="Times New Roman"/>
        <family val="1"/>
        <charset val="204"/>
      </rPr>
      <t xml:space="preserve"> (капітальні ремонти приміщень АЗПСМ в т.ч. санвузлів</t>
    </r>
    <r>
      <rPr>
        <sz val="12"/>
        <rFont val="Times New Roman"/>
        <family val="1"/>
        <charset val="204"/>
      </rPr>
      <t xml:space="preserve"> тощо)</t>
    </r>
  </si>
  <si>
    <t>відсотки,  отримані  на  залишки  коштів  на   поточних 
рахунках  в  банках</t>
  </si>
  <si>
    <t>Надходження за договорами укладеними з НСЗУ</t>
  </si>
  <si>
    <t>1062/5</t>
  </si>
  <si>
    <t>надходження коштів від НСЗУ за договором "Лікування осіб із психічними та поведінковими розладами внаслідок вживання опіоїдів із використанням препаратів замісної підтримувальної терапії"</t>
  </si>
  <si>
    <t>надходження коштів від НСЗУ за договором "Надання первинної медичної допомоги"</t>
  </si>
  <si>
    <t>Разом</t>
  </si>
  <si>
    <t>Помічник керівника</t>
  </si>
  <si>
    <t>Лікар-терапевт</t>
  </si>
  <si>
    <t>1032/1</t>
  </si>
  <si>
    <t>1032/2</t>
  </si>
  <si>
    <t xml:space="preserve"> надходження з місцевого бюджету на енергоносії та комунальні послуги</t>
  </si>
  <si>
    <t>надходження з місцевого бюджету на реалізацію заходів по цільових програмах розвитку ОТГ</t>
  </si>
  <si>
    <t>Видатки з місцевого бюджету на реалізацію заходів по цільової програми розвитку ОТГ</t>
  </si>
  <si>
    <t>Видатки  з місцевого бюджету на енергоносії та комунальні послуги</t>
  </si>
  <si>
    <t xml:space="preserve">надходження коштів від НСЗУ за договором «Забезпечення кадрового потенціалу системи охорони здоров'я шляхом організації надання медичної допомоги із залученням лікарів-інтернів» </t>
  </si>
  <si>
    <t>І.В.Барабашук</t>
  </si>
  <si>
    <t>V</t>
  </si>
  <si>
    <t xml:space="preserve">           Стандарти звітності П(с)БОУ</t>
  </si>
  <si>
    <t xml:space="preserve">               Стандарти звітності МСФЗ</t>
  </si>
  <si>
    <t>Форма власності                                  Комунальна</t>
  </si>
  <si>
    <t>м.Житомир, Богунський р-н</t>
  </si>
  <si>
    <t>витрати віднесені до інших операційних витрат у зв'язку зі змінами в обліковій політиці</t>
  </si>
  <si>
    <t>_______________________Світлана ОЛЬШАНСЬКА</t>
  </si>
  <si>
    <t>______________________________Наталія СОКОЛ</t>
  </si>
  <si>
    <t>Послуги з проведення лабораторних дослідженнь згідно умов договору</t>
  </si>
  <si>
    <t xml:space="preserve">Вартість  медичних послуг згідно  укладених  декларацій та наданих послуг,  укладання додаткового  договору з НСЗУ  </t>
  </si>
  <si>
    <t>4020/1</t>
  </si>
  <si>
    <r>
      <t>безоплатно отримано основні засоби</t>
    </r>
    <r>
      <rPr>
        <i/>
        <sz val="12"/>
        <rFont val="Times New Roman"/>
        <family val="1"/>
        <charset val="204"/>
      </rPr>
      <t xml:space="preserve"> (комп'ютерна техніка,медичне обладнання,тощо)</t>
    </r>
  </si>
  <si>
    <r>
      <t xml:space="preserve">безоплатно отримано інші необоротні матеріальні активи </t>
    </r>
    <r>
      <rPr>
        <i/>
        <sz val="12"/>
        <rFont val="Times New Roman"/>
        <family val="1"/>
        <charset val="204"/>
      </rPr>
      <t xml:space="preserve"> (меблі, вироби медичного призначення, тощо)</t>
    </r>
  </si>
  <si>
    <t>4030/1</t>
  </si>
  <si>
    <t>Інші джерела (безоплатно отримані)</t>
  </si>
  <si>
    <t>91 рах</t>
  </si>
  <si>
    <t>92 рах</t>
  </si>
  <si>
    <t>94 рах</t>
  </si>
  <si>
    <t>1150/3</t>
  </si>
  <si>
    <t>пенсійний збір при реєстрації автотранспортних засобів</t>
  </si>
  <si>
    <t>пенсійний збір при реєстрації транспортних засобів</t>
  </si>
  <si>
    <t>3100/6</t>
  </si>
  <si>
    <t>Безоплатно одержані підприємством необоротні активи (в т.ч. вартість робіт з ремонту,реконструкцій необоротних активів, переданих підприємству на облік) тощо</t>
  </si>
  <si>
    <r>
      <t>придбання (виготовлення) основних засобів</t>
    </r>
    <r>
      <rPr>
        <i/>
        <sz val="12"/>
        <rFont val="Times New Roman"/>
        <family val="1"/>
        <charset val="204"/>
      </rPr>
      <t xml:space="preserve"> (комп'ютерна техніка,медичне обладнання тощо)</t>
    </r>
  </si>
  <si>
    <t xml:space="preserve">Витрати на енергоносії </t>
  </si>
  <si>
    <t xml:space="preserve"> амортизація безоплатно отриманих основних засобів і нематеріальних активів</t>
  </si>
  <si>
    <t>1086.1</t>
  </si>
  <si>
    <t>1086.2</t>
  </si>
  <si>
    <r>
      <t xml:space="preserve">Повернення коштів за короткостро-ковими зобов'язаннями, </t>
    </r>
    <r>
      <rPr>
        <i/>
        <sz val="12"/>
        <rFont val="Times New Roman"/>
        <family val="1"/>
        <charset val="204"/>
      </rPr>
      <t>у тому числі:</t>
    </r>
  </si>
  <si>
    <t>-</t>
  </si>
  <si>
    <t>Лікар-імунолог</t>
  </si>
  <si>
    <t>виготовлення проєктно-кошторисної документації на капітальний ремонт амбулаторій за адресою пл.Польова,2</t>
  </si>
  <si>
    <t>V. Розрахунок посадових окладів та розміри постійних доплат і  надбавок КП"Центр первинної медико-санітарної допомоги" 
Житомирської міської ради</t>
  </si>
  <si>
    <t>І тарифний розряд 6500,00грн ,  міжпосадовий коефіцієнт 1.</t>
  </si>
  <si>
    <t>Назва структурного підрозділу</t>
  </si>
  <si>
    <t>Посада</t>
  </si>
  <si>
    <t>Категорія, клас</t>
  </si>
  <si>
    <t>Код ДК 003:2010</t>
  </si>
  <si>
    <t>Кількість штатних одиниць</t>
  </si>
  <si>
    <t>Міжпосадовий коефіцієнт</t>
  </si>
  <si>
    <t>Посадовий оклад, грн</t>
  </si>
  <si>
    <t>Надбавки, грн</t>
  </si>
  <si>
    <t>Доплати, грн</t>
  </si>
  <si>
    <t>Фонд заробітної плати однієї штатної одиниці, на місяць</t>
  </si>
  <si>
    <t>Фонд заробітної плати, грн</t>
  </si>
  <si>
    <t>на місяць</t>
  </si>
  <si>
    <t>на рік</t>
  </si>
  <si>
    <t xml:space="preserve"> за завідування та старшинство</t>
  </si>
  <si>
    <t>за використання 
дезинфікуючих засобів</t>
  </si>
  <si>
    <t>1210.1</t>
  </si>
  <si>
    <t>Головна медична сестра/головний медичний брат</t>
  </si>
  <si>
    <t>1229.5</t>
  </si>
  <si>
    <t xml:space="preserve">Інженер з охорони праці </t>
  </si>
  <si>
    <t>2149.2</t>
  </si>
  <si>
    <t>лікарський  персонал</t>
  </si>
  <si>
    <t>середній персонал</t>
  </si>
  <si>
    <t>молодший персонал</t>
  </si>
  <si>
    <t>інший персонал</t>
  </si>
  <si>
    <t>Бухгалтерія</t>
  </si>
  <si>
    <t>Всього по структурному підрозділу</t>
  </si>
  <si>
    <t>Планово-економічний відділ</t>
  </si>
  <si>
    <t>Начальник відділу</t>
  </si>
  <si>
    <t>2441.2</t>
  </si>
  <si>
    <t>Юридичний відділ</t>
  </si>
  <si>
    <t>Відділ управління персоналом</t>
  </si>
  <si>
    <t>Старший інспектор з кадрів</t>
  </si>
  <si>
    <t>Відділ матеріально-технічного забезпечення</t>
  </si>
  <si>
    <t>Електромонтер з ремонту та
обслуговування електроустаткування</t>
  </si>
  <si>
    <t>Інженер</t>
  </si>
  <si>
    <t>Молодша медична сестра/молодший медичний брат</t>
  </si>
  <si>
    <t>10%</t>
  </si>
  <si>
    <t>Монтажник санітарно-технічних систем і устаткування</t>
  </si>
  <si>
    <t>Прибиральник територій</t>
  </si>
  <si>
    <t>Відділ закупівель</t>
  </si>
  <si>
    <t>Відділ інформаційних технологій</t>
  </si>
  <si>
    <t>1475.4 </t>
  </si>
  <si>
    <t>4112 </t>
  </si>
  <si>
    <t>Відділ транспорту</t>
  </si>
  <si>
    <t>Водій автотранспортних засобів</t>
  </si>
  <si>
    <t>перший</t>
  </si>
  <si>
    <t>третій</t>
  </si>
  <si>
    <t>Фельдшер</t>
  </si>
  <si>
    <t>Відділ медичного забезпечення</t>
  </si>
  <si>
    <t xml:space="preserve">Сестра медична старша/брат медичний старший </t>
  </si>
  <si>
    <t>55%</t>
  </si>
  <si>
    <t>Сестра медична/брат медичний</t>
  </si>
  <si>
    <t>Асистент фармацевта</t>
  </si>
  <si>
    <t>Відділ медико-соціальної допомоги</t>
  </si>
  <si>
    <t>2221.2</t>
  </si>
  <si>
    <t>45%</t>
  </si>
  <si>
    <t>Відділ медичної статистики</t>
  </si>
  <si>
    <t>2229.2</t>
  </si>
  <si>
    <t>Відділ з  інфекційного контролю</t>
  </si>
  <si>
    <t>Амбулаторія загальної практики — сімейної медицини №1</t>
  </si>
  <si>
    <t xml:space="preserve">Лікар загальної практики — сімейний лікар </t>
  </si>
  <si>
    <t>перша</t>
  </si>
  <si>
    <t>60%</t>
  </si>
  <si>
    <t>Амбулаторія загальної практики — сімейної медицини №2</t>
  </si>
  <si>
    <t xml:space="preserve">Сестра медична/брат медичний </t>
  </si>
  <si>
    <t>Амбулаторія загальної практики — сімейної медицини №3</t>
  </si>
  <si>
    <t>50%</t>
  </si>
  <si>
    <t>Амбулаторія загальної практики — сімейної медицини №4</t>
  </si>
  <si>
    <t>Лікар-педіатр</t>
  </si>
  <si>
    <t>Сестра медична/брат медичний кабінету щеплень</t>
  </si>
  <si>
    <t>20%</t>
  </si>
  <si>
    <t>Амбулаторія загальної практики — сімейної медицини №6</t>
  </si>
  <si>
    <t>Амбулаторія загальної практики — сімейної медицини №7</t>
  </si>
  <si>
    <t xml:space="preserve">Лікар-педіатр </t>
  </si>
  <si>
    <t>Амбулаторія загальної практики — сімейної медицини №8</t>
  </si>
  <si>
    <t>Амбулаторія загальної практики — сімейної медицини №10</t>
  </si>
  <si>
    <t>Амбулаторія загальної практики — сімейної медицини №11</t>
  </si>
  <si>
    <t>Амбулаторія загальної практики — сімейної медицини №12</t>
  </si>
  <si>
    <t>Амбулаторія загальної практики — сімейної медицини №13</t>
  </si>
  <si>
    <t>Лікар загальної практики — сімейний лікар кабінету ЗПТ</t>
  </si>
  <si>
    <t>Сестра медична/брат медичний кабінету ДОТ</t>
  </si>
  <si>
    <t>Сестра медична/брат медичний кабінету ЗПТ</t>
  </si>
  <si>
    <t>Амбулаторія загальної практики — сімейної медицини №14</t>
  </si>
  <si>
    <t>Амбулаторія загальної практики — сімейної медицини №16</t>
  </si>
  <si>
    <t>Сестра медична імунологічна/брат медичний імунологічний</t>
  </si>
  <si>
    <t>Амбулаторія загальної практики — сімейної медицини №17</t>
  </si>
  <si>
    <t>Амбулаторія загальної практики — сімейної медицини №18</t>
  </si>
  <si>
    <t>Амбулаторія загальної практики — сімейної медицини №19</t>
  </si>
  <si>
    <t>Сестра медична/брат медичний кабінету патронажний</t>
  </si>
  <si>
    <t>Амбулаторія загальної практики — сімейної медицини №20</t>
  </si>
  <si>
    <t>Амбулаторія загальної практики — сімейної медицини №21</t>
  </si>
  <si>
    <t>40%</t>
  </si>
  <si>
    <t>Всього по підприємству</t>
  </si>
  <si>
    <t>Всього по підприємству в розрізі персоналу</t>
  </si>
  <si>
    <t xml:space="preserve">Начальник планово-економічного відділу </t>
  </si>
  <si>
    <t>інші витрати (втрати від крадіжок майна, тощо)</t>
  </si>
  <si>
    <t>погашення реструкткризованих та відстрочених сум, що підлягають сплаті в поточному році добюджетів та державних цільових фондів</t>
  </si>
  <si>
    <t>2145/1</t>
  </si>
  <si>
    <t>2145/2</t>
  </si>
  <si>
    <t xml:space="preserve">придбання (створення) нематеріальних активів  </t>
  </si>
  <si>
    <t>за щеплення</t>
  </si>
  <si>
    <t>Надходження з місцевого бюджету на реалізацію заходів цільових програм розвитку  Житомирської міської  територіальної громади</t>
  </si>
  <si>
    <t>відображення витрат  на реалізацію заходів цільових програм розвитку Житомирської міської територіальної громади за рахунок коштів місцевого бюджету</t>
  </si>
  <si>
    <t>(мін.з/п+ЄСВ) х 1 чол.</t>
  </si>
  <si>
    <t xml:space="preserve">надходження </t>
  </si>
  <si>
    <t xml:space="preserve">Виконання умов договорів </t>
  </si>
  <si>
    <t>поділено на 4квартали  знято з 4 кв.</t>
  </si>
  <si>
    <t xml:space="preserve">надходження з МБ на енергоносії та комунальні послуги </t>
  </si>
  <si>
    <t>Цитоморфолог кабінету скринінгових досліджень</t>
  </si>
  <si>
    <t>2211.2</t>
  </si>
  <si>
    <t>Лаборант (медицина) кабінету скринінгових досліджень</t>
  </si>
  <si>
    <t>Молодша медична сестра/молодший медичний брат кабінету скринінгових досліджень</t>
  </si>
  <si>
    <t>КПД перенести  в стр. 4051</t>
  </si>
  <si>
    <t>Інші послуги (мед.огляди, повірка, оренда, відрядження, серверне обслуговування )</t>
  </si>
  <si>
    <t>5.1</t>
  </si>
  <si>
    <t>* Примітка: Посадові оклади, надбавки та доплати можуть змінюватися протягом року у зв'язку з прийняттям та звільненням працівників, отриманням ( присвоєнням) кваліфікаційних категорій, тощо.</t>
  </si>
  <si>
    <t>За рахунок прибутку, який залишається в розпорядженні підприємства</t>
  </si>
  <si>
    <t>Фельдшер - лаборант кабінету скринінгових досліджень</t>
  </si>
  <si>
    <t>на 2024</t>
  </si>
  <si>
    <t>витрати по залишковій вартості при списанні основних засобів</t>
  </si>
  <si>
    <t>включила тільки балансові приміщення</t>
  </si>
  <si>
    <t>3110/3</t>
  </si>
  <si>
    <t>Заступник медичного директора по роботі з дитячим населенням</t>
  </si>
  <si>
    <t>Юрист по договірній роботі</t>
  </si>
  <si>
    <t xml:space="preserve">Заступник директора </t>
  </si>
  <si>
    <t>Заступник медичного директора з організційно- методичної роботи</t>
  </si>
  <si>
    <t>Юристконсульт (радник юридичний)</t>
  </si>
  <si>
    <t>2/кат</t>
  </si>
  <si>
    <t>В.о.директора</t>
  </si>
  <si>
    <t xml:space="preserve">О.І.Косміна </t>
  </si>
  <si>
    <t xml:space="preserve"> Інші доходи (від реалізації вторсировини,   відшкодування послуг орендрем, тощо)</t>
  </si>
  <si>
    <t>ЧАЕС та ВПО 100тис.грн +ЄСВ 20,6</t>
  </si>
  <si>
    <t>100 - ЧАЕС та ВПО, лік. За рах.п-ва 900,0 ЄСВ-488,1</t>
  </si>
  <si>
    <t>Рік 2026</t>
  </si>
  <si>
    <t xml:space="preserve"> Інші витрати  (  відшкодування послуг орендрем, тощо)</t>
  </si>
  <si>
    <t>О.І. КОСМІНА</t>
  </si>
  <si>
    <t>до фінансового плану на ____2026_______ рік</t>
  </si>
  <si>
    <t>Плановий __2026_  рік</t>
  </si>
  <si>
    <t>безоплатно отримані вакцини та препарати для ДОТ та ЗПТ кабінетів,благодійна та гуманітарна допомога, претензії НСЗУ, тощо</t>
  </si>
  <si>
    <t>=E89-E35</t>
  </si>
  <si>
    <t>1088</t>
  </si>
  <si>
    <t>1089</t>
  </si>
  <si>
    <t xml:space="preserve">придбання (виготовлення) основних засобів за благодійні кошти </t>
  </si>
  <si>
    <t>придбання (виготовлення) інших необоротних матеріальних активів за благодійні кошт</t>
  </si>
  <si>
    <t xml:space="preserve"> відрахування на соціальні заходи</t>
  </si>
  <si>
    <t>ФІНАНСОВИЙ ПЛАН ПІДПРИЄМСТВА НА ___2026____ рік</t>
  </si>
  <si>
    <t>Косміна олександр Ігоревич</t>
  </si>
  <si>
    <t>В.о. директора</t>
  </si>
  <si>
    <t>О.І.КОСМІНА</t>
  </si>
  <si>
    <t>О.І.Косміна</t>
  </si>
  <si>
    <t>О.І. Косміна</t>
  </si>
  <si>
    <t xml:space="preserve">  Надходження з бюджету на додаткові відпустки працівникам, віднесеним до категорій, постраждалих внаслідок аварії на ЧАЕС, відшкодування за ВПО, тощо</t>
  </si>
  <si>
    <t>Надходження з бюджету на додаткові відпустки працівникам, віднесеним до категорій, постраждалих внаслідок аварії на ЧАЕС на  відрахування на соціальні заходи</t>
  </si>
  <si>
    <t>фінансування робіт з капітального ремонту та виготовлення проєктно-кошторисної документації: частини нежитлових   приміщень АЗПСМ 20 за адресою: вул. Тараса Бульби - Боровця,6.</t>
  </si>
  <si>
    <t>чорнобильська відпустка</t>
  </si>
  <si>
    <t>витрати на оплату праці (,чорнобильська відпустка, інші виплати працівникам)</t>
  </si>
  <si>
    <t>1032/3</t>
  </si>
  <si>
    <t>Надходження з місцевого бюджету (земельний податок)</t>
  </si>
  <si>
    <t>Сплата земельного податку</t>
  </si>
  <si>
    <t>безоплатно отримані вакцини, та препарати для кабінетів контрольованого лікування туберкульозу  та  замісної підтримувальної терапії, благодійної та гуманітарної допомоги, тощо</t>
  </si>
  <si>
    <t>Земельний податок (місцевий бюджет)</t>
  </si>
  <si>
    <t>на 2026 рік</t>
  </si>
</sst>
</file>

<file path=xl/styles.xml><?xml version="1.0" encoding="utf-8"?>
<styleSheet xmlns="http://schemas.openxmlformats.org/spreadsheetml/2006/main" xmlns:mc="http://schemas.openxmlformats.org/markup-compatibility/2006" xmlns:x14ac="http://schemas.microsoft.com/office/spreadsheetml/2009/9/ac" mc:Ignorable="x14ac">
  <numFmts count="32">
    <numFmt numFmtId="43" formatCode="_-* #,##0.00\ _₴_-;\-* #,##0.00\ _₴_-;_-* &quot;-&quot;??\ _₴_-;_-@_-"/>
    <numFmt numFmtId="164" formatCode="_-* #,##0.00_₴_-;\-* #,##0.00_₴_-;_-* &quot;-&quot;??_₴_-;_-@_-"/>
    <numFmt numFmtId="165" formatCode="#,##0&quot;р.&quot;;[Red]\-#,##0&quot;р.&quot;"/>
    <numFmt numFmtId="166" formatCode="#,##0.00&quot;р.&quot;;\-#,##0.00&quot;р.&quot;"/>
    <numFmt numFmtId="167" formatCode="_-* #,##0.00_р_._-;\-* #,##0.00_р_._-;_-* &quot;-&quot;??_р_._-;_-@_-"/>
    <numFmt numFmtId="168" formatCode="_-* #,##0.00\ _г_р_н_._-;\-* #,##0.00\ _г_р_н_._-;_-* &quot;-&quot;??\ _г_р_н_._-;_-@_-"/>
    <numFmt numFmtId="169" formatCode="0.0"/>
    <numFmt numFmtId="170" formatCode="#,##0.0"/>
    <numFmt numFmtId="171" formatCode="###\ ##0.000"/>
    <numFmt numFmtId="172" formatCode="_(&quot;$&quot;* #,##0.00_);_(&quot;$&quot;* \(#,##0.00\);_(&quot;$&quot;* &quot;-&quot;??_);_(@_)"/>
    <numFmt numFmtId="173" formatCode="_(* #,##0_);_(* \(#,##0\);_(* &quot;-&quot;_);_(@_)"/>
    <numFmt numFmtId="174" formatCode="_(* #,##0.00_);_(* \(#,##0.00\);_(* &quot;-&quot;??_);_(@_)"/>
    <numFmt numFmtId="175" formatCode="#,##0.0_ ;[Red]\-#,##0.0\ "/>
    <numFmt numFmtId="176" formatCode="0.0;\(0.0\);\ ;\-"/>
    <numFmt numFmtId="177" formatCode="dd\.mm\.yyyy;@"/>
    <numFmt numFmtId="178" formatCode="_(* #,##0.0_);_(* \(#,##0.0\);_(* &quot;-&quot;??_);_(@_)"/>
    <numFmt numFmtId="179" formatCode="_(* #,##0_);_(* \(#,##0\);_(* &quot;-&quot;??_);_(@_)"/>
    <numFmt numFmtId="180" formatCode="0.0%"/>
    <numFmt numFmtId="181" formatCode="_(* #,##0.0_);_(* \(#,##0.0\);_(* &quot;-&quot;_);_(@_)"/>
    <numFmt numFmtId="182" formatCode="0.0_ ;[Red]\-0.0\ "/>
    <numFmt numFmtId="183" formatCode="_-* #,##0.0\ _₴_-;\-* #,##0.0\ _₴_-;_-* &quot;-&quot;?\ _₴_-;_-@_-"/>
    <numFmt numFmtId="184" formatCode="0_ ;[Red]\-0\ "/>
    <numFmt numFmtId="185" formatCode="#,##0.0000"/>
    <numFmt numFmtId="186" formatCode="_(* #,##0.0000_);_(* \(#,##0.0000\);_(* &quot;-&quot;_);_(@_)"/>
    <numFmt numFmtId="187" formatCode="_(* #,##0.00_);_(* \(#,##0.00\);_(* &quot;-&quot;_);_(@_)"/>
    <numFmt numFmtId="188" formatCode="#,##0.000"/>
    <numFmt numFmtId="189" formatCode="_(* #,##0.000_);_(* \(#,##0.000\);_(* &quot;-&quot;_);_(@_)"/>
    <numFmt numFmtId="190" formatCode="0.0_ ;\-0.0\ "/>
    <numFmt numFmtId="191" formatCode="0.0000"/>
    <numFmt numFmtId="192" formatCode="_-* #,##0.0\ _₴_-;\-* #,##0.0\ _₴_-;_-* &quot;-&quot;??\ _₴_-;_-@_-"/>
    <numFmt numFmtId="193" formatCode="yyyy\.m"/>
    <numFmt numFmtId="194" formatCode="_(* #,##0.000_);_(* \(#,##0.000\);_(* &quot;-&quot;??_);_(@_)"/>
  </numFmts>
  <fonts count="135">
    <font>
      <sz val="10"/>
      <name val="Arial Cyr"/>
      <charset val="204"/>
    </font>
    <font>
      <sz val="11"/>
      <color theme="1"/>
      <name val="Calibri"/>
      <family val="2"/>
      <charset val="204"/>
      <scheme val="minor"/>
    </font>
    <font>
      <sz val="11"/>
      <color indexed="8"/>
      <name val="Calibri"/>
      <family val="2"/>
      <charset val="204"/>
    </font>
    <font>
      <sz val="10"/>
      <name val="Arial Cyr"/>
      <charset val="204"/>
    </font>
    <font>
      <sz val="8"/>
      <name val="Arial Cyr"/>
      <charset val="204"/>
    </font>
    <font>
      <b/>
      <sz val="14"/>
      <name val="Times New Roman"/>
      <family val="1"/>
      <charset val="204"/>
    </font>
    <font>
      <sz val="14"/>
      <name val="Times New Roman"/>
      <family val="1"/>
      <charset val="204"/>
    </font>
    <font>
      <i/>
      <sz val="14"/>
      <name val="Times New Roman"/>
      <family val="1"/>
      <charset val="204"/>
    </font>
    <font>
      <b/>
      <i/>
      <sz val="14"/>
      <name val="Times New Roman"/>
      <family val="1"/>
      <charset val="204"/>
    </font>
    <font>
      <sz val="13"/>
      <name val="Times New Roman"/>
      <family val="1"/>
      <charset val="204"/>
    </font>
    <font>
      <b/>
      <sz val="13"/>
      <name val="Times New Roman"/>
      <family val="1"/>
      <charset val="204"/>
    </font>
    <font>
      <sz val="12"/>
      <name val="Times New Roman"/>
      <family val="1"/>
      <charset val="204"/>
    </font>
    <font>
      <sz val="8"/>
      <name val="Arial"/>
      <family val="2"/>
    </font>
    <font>
      <sz val="10"/>
      <name val="Times New Roman"/>
      <family val="1"/>
      <charset val="204"/>
    </font>
    <font>
      <sz val="10"/>
      <name val="Arial"/>
      <family val="2"/>
      <charset val="204"/>
    </font>
    <font>
      <sz val="10"/>
      <name val="Arial Cyr"/>
      <family val="2"/>
      <charset val="204"/>
    </font>
    <font>
      <sz val="14"/>
      <name val="Arial Cyr"/>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Helv"/>
      <charset val="204"/>
    </font>
    <font>
      <sz val="11"/>
      <color indexed="8"/>
      <name val="Arial Cyr"/>
      <family val="2"/>
      <charset val="204"/>
    </font>
    <font>
      <sz val="11"/>
      <color indexed="9"/>
      <name val="Arial Cyr"/>
      <family val="2"/>
      <charset val="204"/>
    </font>
    <font>
      <b/>
      <sz val="12"/>
      <name val="Arial"/>
      <family val="2"/>
      <charset val="204"/>
    </font>
    <font>
      <sz val="10"/>
      <name val="FreeSet"/>
      <family val="2"/>
    </font>
    <font>
      <u/>
      <sz val="10"/>
      <color indexed="12"/>
      <name val="Arial"/>
      <family val="2"/>
      <charset val="204"/>
    </font>
    <font>
      <b/>
      <sz val="14"/>
      <name val="Arial"/>
      <family val="2"/>
      <charset val="204"/>
    </font>
    <font>
      <b/>
      <sz val="12"/>
      <color indexed="9"/>
      <name val="Arial"/>
      <family val="2"/>
      <charset val="204"/>
    </font>
    <font>
      <b/>
      <i/>
      <sz val="14"/>
      <name val="Arial"/>
      <family val="2"/>
      <charset val="204"/>
    </font>
    <font>
      <b/>
      <i/>
      <sz val="14"/>
      <color indexed="9"/>
      <name val="Arial"/>
      <family val="2"/>
      <charset val="204"/>
    </font>
    <font>
      <b/>
      <i/>
      <sz val="12"/>
      <color indexed="9"/>
      <name val="Arial"/>
      <family val="2"/>
      <charset val="204"/>
    </font>
    <font>
      <b/>
      <sz val="11"/>
      <name val="Arial"/>
      <family val="2"/>
      <charset val="204"/>
    </font>
    <font>
      <b/>
      <sz val="11"/>
      <color indexed="9"/>
      <name val="Arial"/>
      <family val="2"/>
      <charset val="204"/>
    </font>
    <font>
      <sz val="12"/>
      <color indexed="9"/>
      <name val="Bookman Old Style"/>
      <family val="1"/>
      <charset val="204"/>
    </font>
    <font>
      <sz val="11"/>
      <name val="Arial"/>
      <family val="2"/>
      <charset val="204"/>
    </font>
    <font>
      <sz val="11"/>
      <color indexed="9"/>
      <name val="Arial"/>
      <family val="2"/>
      <charset val="204"/>
    </font>
    <font>
      <i/>
      <sz val="11"/>
      <name val="Arial"/>
      <family val="2"/>
      <charset val="204"/>
    </font>
    <font>
      <b/>
      <i/>
      <sz val="11"/>
      <color indexed="9"/>
      <name val="Arial"/>
      <family val="2"/>
      <charset val="204"/>
    </font>
    <font>
      <b/>
      <sz val="10"/>
      <name val="Arial"/>
      <family val="2"/>
      <charset val="204"/>
    </font>
    <font>
      <sz val="11"/>
      <color indexed="62"/>
      <name val="Arial Cyr"/>
      <family val="2"/>
      <charset val="204"/>
    </font>
    <font>
      <b/>
      <sz val="11"/>
      <color indexed="63"/>
      <name val="Arial Cyr"/>
      <family val="2"/>
      <charset val="204"/>
    </font>
    <font>
      <b/>
      <sz val="11"/>
      <color indexed="52"/>
      <name val="Arial Cyr"/>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1"/>
      <color indexed="8"/>
      <name val="Arial Cyr"/>
      <family val="2"/>
      <charset val="204"/>
    </font>
    <font>
      <b/>
      <sz val="11"/>
      <color indexed="9"/>
      <name val="Arial Cyr"/>
      <family val="2"/>
      <charset val="204"/>
    </font>
    <font>
      <sz val="11"/>
      <color indexed="60"/>
      <name val="Arial Cyr"/>
      <family val="2"/>
      <charset val="204"/>
    </font>
    <font>
      <sz val="11"/>
      <color indexed="20"/>
      <name val="Arial Cyr"/>
      <family val="2"/>
      <charset val="204"/>
    </font>
    <font>
      <i/>
      <sz val="11"/>
      <color indexed="23"/>
      <name val="Arial Cyr"/>
      <family val="2"/>
      <charset val="204"/>
    </font>
    <font>
      <sz val="12"/>
      <name val="Arial Cyr"/>
      <family val="2"/>
      <charset val="204"/>
    </font>
    <font>
      <sz val="11"/>
      <color indexed="52"/>
      <name val="Arial Cyr"/>
      <family val="2"/>
      <charset val="204"/>
    </font>
    <font>
      <sz val="10"/>
      <name val="Helv"/>
    </font>
    <font>
      <sz val="11"/>
      <color indexed="10"/>
      <name val="Arial Cyr"/>
      <family val="2"/>
      <charset val="204"/>
    </font>
    <font>
      <sz val="12"/>
      <name val="Journal"/>
    </font>
    <font>
      <sz val="11"/>
      <color indexed="17"/>
      <name val="Arial Cyr"/>
      <family val="2"/>
      <charset val="204"/>
    </font>
    <font>
      <sz val="10"/>
      <name val="Tahoma"/>
      <family val="2"/>
      <charset val="204"/>
    </font>
    <font>
      <sz val="10"/>
      <name val="Petersburg"/>
    </font>
    <font>
      <sz val="11"/>
      <name val="Times New Roman"/>
      <family val="1"/>
      <charset val="204"/>
    </font>
    <font>
      <i/>
      <sz val="12"/>
      <name val="Times New Roman"/>
      <family val="1"/>
      <charset val="204"/>
    </font>
    <font>
      <b/>
      <sz val="11"/>
      <name val="Times New Roman"/>
      <family val="1"/>
      <charset val="204"/>
    </font>
    <font>
      <i/>
      <sz val="10"/>
      <name val="Times New Roman"/>
      <family val="1"/>
      <charset val="204"/>
    </font>
    <font>
      <i/>
      <sz val="11"/>
      <name val="Times New Roman"/>
      <family val="1"/>
      <charset val="204"/>
    </font>
    <font>
      <sz val="9"/>
      <name val="Times New Roman"/>
      <family val="1"/>
      <charset val="204"/>
    </font>
    <font>
      <sz val="8"/>
      <name val="Times New Roman"/>
      <family val="1"/>
      <charset val="204"/>
    </font>
    <font>
      <i/>
      <sz val="9"/>
      <name val="Times New Roman"/>
      <family val="1"/>
      <charset val="204"/>
    </font>
    <font>
      <b/>
      <i/>
      <sz val="12"/>
      <name val="Times New Roman"/>
      <family val="1"/>
      <charset val="204"/>
    </font>
    <font>
      <b/>
      <sz val="18"/>
      <name val="Times New Roman"/>
      <family val="1"/>
      <charset val="204"/>
    </font>
    <font>
      <b/>
      <sz val="12"/>
      <name val="Times New Roman"/>
      <family val="1"/>
      <charset val="204"/>
    </font>
    <font>
      <b/>
      <sz val="16"/>
      <name val="Times New Roman"/>
      <family val="1"/>
      <charset val="204"/>
    </font>
    <font>
      <sz val="13.5"/>
      <name val="Times New Roman"/>
      <family val="1"/>
      <charset val="204"/>
    </font>
    <font>
      <b/>
      <sz val="14"/>
      <name val="Arial Cyr"/>
      <charset val="204"/>
    </font>
    <font>
      <b/>
      <i/>
      <sz val="11"/>
      <name val="Times New Roman"/>
      <family val="1"/>
      <charset val="204"/>
    </font>
    <font>
      <b/>
      <sz val="8"/>
      <name val="Times New Roman"/>
      <family val="1"/>
      <charset val="204"/>
    </font>
    <font>
      <i/>
      <sz val="8"/>
      <name val="Times New Roman"/>
      <family val="1"/>
      <charset val="204"/>
    </font>
    <font>
      <sz val="6"/>
      <name val="Times New Roman"/>
      <family val="1"/>
      <charset val="204"/>
    </font>
    <font>
      <b/>
      <sz val="13.5"/>
      <name val="Times New Roman"/>
      <family val="1"/>
      <charset val="204"/>
    </font>
    <font>
      <b/>
      <sz val="10"/>
      <name val="Times New Roman"/>
      <family val="1"/>
      <charset val="204"/>
    </font>
    <font>
      <sz val="16"/>
      <name val="Times New Roman"/>
      <family val="1"/>
      <charset val="204"/>
    </font>
    <font>
      <sz val="9"/>
      <color indexed="81"/>
      <name val="Tahoma"/>
      <family val="2"/>
      <charset val="204"/>
    </font>
    <font>
      <b/>
      <sz val="9"/>
      <color indexed="81"/>
      <name val="Tahoma"/>
      <family val="2"/>
      <charset val="204"/>
    </font>
    <font>
      <sz val="11"/>
      <name val="Calibri"/>
      <family val="2"/>
      <charset val="204"/>
    </font>
    <font>
      <b/>
      <sz val="9"/>
      <name val="Times New Roman"/>
      <family val="1"/>
      <charset val="204"/>
    </font>
    <font>
      <i/>
      <sz val="11"/>
      <name val="Calibri"/>
      <family val="2"/>
      <charset val="204"/>
    </font>
    <font>
      <sz val="9"/>
      <name val="Calibri"/>
      <family val="2"/>
      <charset val="204"/>
    </font>
    <font>
      <sz val="18"/>
      <name val="Times New Roman"/>
      <family val="1"/>
      <charset val="204"/>
    </font>
    <font>
      <sz val="11"/>
      <color theme="1"/>
      <name val="Calibri"/>
      <family val="2"/>
      <charset val="204"/>
      <scheme val="minor"/>
    </font>
    <font>
      <sz val="11"/>
      <color rgb="FF000000"/>
      <name val="Calibri"/>
      <family val="2"/>
      <charset val="204"/>
    </font>
    <font>
      <sz val="8"/>
      <color rgb="FF7030A0"/>
      <name val="Times New Roman"/>
      <family val="1"/>
      <charset val="204"/>
    </font>
    <font>
      <i/>
      <sz val="10"/>
      <color theme="1"/>
      <name val="Times New Roman"/>
      <family val="1"/>
      <charset val="204"/>
    </font>
    <font>
      <sz val="14"/>
      <color rgb="FFFF0000"/>
      <name val="Times New Roman"/>
      <family val="1"/>
      <charset val="204"/>
    </font>
    <font>
      <b/>
      <sz val="14"/>
      <color rgb="FFFF0000"/>
      <name val="Times New Roman"/>
      <family val="1"/>
      <charset val="204"/>
    </font>
    <font>
      <sz val="10"/>
      <color rgb="FF000000"/>
      <name val="Times New Roman"/>
      <family val="1"/>
      <charset val="204"/>
    </font>
    <font>
      <b/>
      <sz val="10"/>
      <color rgb="FF000000"/>
      <name val="Times New Roman"/>
      <family val="1"/>
      <charset val="204"/>
    </font>
    <font>
      <sz val="10"/>
      <color theme="1"/>
      <name val="Times New Roman"/>
      <family val="1"/>
      <charset val="204"/>
    </font>
    <font>
      <b/>
      <sz val="10"/>
      <color theme="1"/>
      <name val="Times New Roman"/>
      <family val="1"/>
      <charset val="204"/>
    </font>
    <font>
      <b/>
      <sz val="8"/>
      <color rgb="FF000000"/>
      <name val="Times New Roman"/>
      <family val="1"/>
      <charset val="204"/>
    </font>
    <font>
      <sz val="14"/>
      <color theme="1"/>
      <name val="Times New Roman"/>
      <family val="1"/>
      <charset val="204"/>
    </font>
    <font>
      <sz val="10"/>
      <color rgb="FFFF0000"/>
      <name val="Times New Roman"/>
      <family val="1"/>
      <charset val="204"/>
    </font>
    <font>
      <sz val="10"/>
      <color rgb="FFFF0000"/>
      <name val="Arial Cyr"/>
      <charset val="204"/>
    </font>
    <font>
      <sz val="11"/>
      <color rgb="FFFF0000"/>
      <name val="Times New Roman"/>
      <family val="1"/>
      <charset val="204"/>
    </font>
    <font>
      <b/>
      <sz val="12"/>
      <color rgb="FF000000"/>
      <name val="Times New Roman"/>
      <family val="1"/>
      <charset val="204"/>
    </font>
    <font>
      <b/>
      <sz val="9"/>
      <color rgb="FF000000"/>
      <name val="Times New Roman"/>
      <family val="1"/>
      <charset val="204"/>
    </font>
    <font>
      <sz val="9"/>
      <color rgb="FF000000"/>
      <name val="Times New Roman"/>
      <family val="1"/>
      <charset val="204"/>
    </font>
    <font>
      <b/>
      <sz val="14"/>
      <color rgb="FF000000"/>
      <name val="Times New Roman"/>
      <family val="1"/>
      <charset val="204"/>
    </font>
    <font>
      <sz val="11"/>
      <color rgb="FF000000"/>
      <name val="Times New Roman"/>
      <family val="1"/>
      <charset val="204"/>
    </font>
    <font>
      <b/>
      <sz val="11"/>
      <color rgb="FF000000"/>
      <name val="Times New Roman"/>
      <family val="1"/>
      <charset val="204"/>
    </font>
    <font>
      <sz val="12"/>
      <color rgb="FFFF0000"/>
      <name val="Times New Roman"/>
      <family val="1"/>
      <charset val="204"/>
    </font>
    <font>
      <sz val="8"/>
      <color rgb="FFFF0000"/>
      <name val="Times New Roman"/>
      <family val="1"/>
      <charset val="204"/>
    </font>
    <font>
      <b/>
      <i/>
      <sz val="8"/>
      <name val="Times New Roman"/>
      <family val="1"/>
      <charset val="204"/>
    </font>
    <font>
      <sz val="10"/>
      <color theme="0" tint="-0.34998626667073579"/>
      <name val="Times New Roman"/>
      <family val="1"/>
      <charset val="204"/>
    </font>
    <font>
      <sz val="14"/>
      <color theme="0" tint="-0.34998626667073579"/>
      <name val="Times New Roman"/>
      <family val="1"/>
      <charset val="204"/>
    </font>
    <font>
      <sz val="8"/>
      <color theme="0" tint="-0.34998626667073579"/>
      <name val="Times New Roman"/>
      <family val="1"/>
      <charset val="204"/>
    </font>
    <font>
      <b/>
      <sz val="14"/>
      <color theme="0" tint="-0.34998626667073579"/>
      <name val="Times New Roman"/>
      <family val="1"/>
      <charset val="204"/>
    </font>
    <font>
      <sz val="11"/>
      <color theme="0" tint="-0.34998626667073579"/>
      <name val="Times New Roman"/>
      <family val="1"/>
      <charset val="204"/>
    </font>
    <font>
      <sz val="6"/>
      <color theme="0" tint="-0.34998626667073579"/>
      <name val="Times New Roman"/>
      <family val="1"/>
      <charset val="204"/>
    </font>
    <font>
      <sz val="18"/>
      <color theme="0" tint="-0.34998626667073579"/>
      <name val="Times New Roman"/>
      <family val="1"/>
      <charset val="204"/>
    </font>
    <font>
      <sz val="12"/>
      <color theme="0" tint="-0.34998626667073579"/>
      <name val="Times New Roman"/>
      <family val="1"/>
      <charset val="204"/>
    </font>
    <font>
      <b/>
      <sz val="8"/>
      <color theme="0" tint="-0.34998626667073579"/>
      <name val="Times New Roman"/>
      <family val="1"/>
      <charset val="204"/>
    </font>
    <font>
      <i/>
      <sz val="8"/>
      <color theme="0" tint="-0.34998626667073579"/>
      <name val="Times New Roman"/>
      <family val="1"/>
      <charset val="204"/>
    </font>
    <font>
      <b/>
      <i/>
      <sz val="14"/>
      <color theme="0" tint="-0.34998626667073579"/>
      <name val="Times New Roman"/>
      <family val="1"/>
      <charset val="204"/>
    </font>
    <font>
      <b/>
      <sz val="10"/>
      <color theme="0" tint="-0.34998626667073579"/>
      <name val="Times New Roman"/>
      <family val="1"/>
      <charset val="204"/>
    </font>
  </fonts>
  <fills count="5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9"/>
        <bgColor indexed="64"/>
      </patternFill>
    </fill>
    <fill>
      <patternFill patternType="solid">
        <fgColor indexed="43"/>
      </patternFill>
    </fill>
    <fill>
      <patternFill patternType="solid">
        <fgColor indexed="44"/>
        <bgColor indexed="64"/>
      </patternFill>
    </fill>
    <fill>
      <patternFill patternType="solid">
        <fgColor indexed="26"/>
      </patternFill>
    </fill>
    <fill>
      <patternFill patternType="solid">
        <fgColor indexed="47"/>
        <bgColor indexed="64"/>
      </patternFill>
    </fill>
    <fill>
      <patternFill patternType="solid">
        <fgColor indexed="41"/>
        <bgColor indexed="64"/>
      </patternFill>
    </fill>
    <fill>
      <patternFill patternType="solid">
        <fgColor indexed="22"/>
        <bgColor indexed="64"/>
      </patternFill>
    </fill>
    <fill>
      <patternFill patternType="solid">
        <fgColor indexed="43"/>
        <bgColor indexed="64"/>
      </patternFill>
    </fill>
    <fill>
      <patternFill patternType="solid">
        <fgColor indexed="9"/>
        <bgColor indexed="26"/>
      </patternFill>
    </fill>
    <fill>
      <patternFill patternType="solid">
        <fgColor indexed="43"/>
        <bgColor indexed="34"/>
      </patternFill>
    </fill>
    <fill>
      <patternFill patternType="solid">
        <fgColor indexed="42"/>
        <bgColor indexed="27"/>
      </patternFill>
    </fill>
    <fill>
      <patternFill patternType="solid">
        <fgColor theme="0"/>
        <bgColor indexed="64"/>
      </patternFill>
    </fill>
    <fill>
      <patternFill patternType="solid">
        <fgColor rgb="FFFF0000"/>
        <bgColor indexed="64"/>
      </patternFill>
    </fill>
    <fill>
      <patternFill patternType="solid">
        <fgColor rgb="FFFFFF99"/>
        <bgColor indexed="64"/>
      </patternFill>
    </fill>
    <fill>
      <patternFill patternType="solid">
        <fgColor rgb="FFFFFF00"/>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rgb="FF92D050"/>
        <bgColor indexed="64"/>
      </patternFill>
    </fill>
    <fill>
      <patternFill patternType="solid">
        <fgColor rgb="FFFFFFFF"/>
        <bgColor rgb="FFFFFFFF"/>
      </patternFill>
    </fill>
    <fill>
      <patternFill patternType="solid">
        <fgColor rgb="FFF2FFAD"/>
        <bgColor rgb="FFF2FFAD"/>
      </patternFill>
    </fill>
    <fill>
      <patternFill patternType="solid">
        <fgColor theme="0"/>
        <bgColor rgb="FFF2FFAD"/>
      </patternFill>
    </fill>
    <fill>
      <patternFill patternType="solid">
        <fgColor theme="8" tint="0.59999389629810485"/>
        <bgColor indexed="64"/>
      </patternFill>
    </fill>
    <fill>
      <patternFill patternType="solid">
        <fgColor theme="6" tint="0.39997558519241921"/>
        <bgColor indexed="64"/>
      </patternFill>
    </fill>
    <fill>
      <patternFill patternType="solid">
        <fgColor theme="0"/>
        <bgColor rgb="FFD9EAD3"/>
      </patternFill>
    </fill>
    <fill>
      <patternFill patternType="solid">
        <fgColor theme="8" tint="0.39997558519241921"/>
        <bgColor indexed="64"/>
      </patternFill>
    </fill>
    <fill>
      <patternFill patternType="solid">
        <fgColor theme="6" tint="0.39997558519241921"/>
        <bgColor rgb="FFF2FFAD"/>
      </patternFill>
    </fill>
    <fill>
      <patternFill patternType="solid">
        <fgColor rgb="FFFFFF99"/>
        <bgColor indexed="34"/>
      </patternFill>
    </fill>
    <fill>
      <patternFill patternType="solid">
        <fgColor rgb="FFCCFF33"/>
        <bgColor rgb="FFF2FFAD"/>
      </patternFill>
    </fill>
    <fill>
      <patternFill patternType="solid">
        <fgColor rgb="FFCCFF33"/>
        <bgColor indexed="64"/>
      </patternFill>
    </fill>
    <fill>
      <patternFill patternType="solid">
        <fgColor rgb="FFCCFF99"/>
        <bgColor rgb="FFF2FFAD"/>
      </patternFill>
    </fill>
    <fill>
      <patternFill patternType="solid">
        <fgColor rgb="FFCCFF99"/>
        <bgColor indexed="64"/>
      </patternFill>
    </fill>
    <fill>
      <patternFill patternType="solid">
        <fgColor theme="2" tint="-9.9978637043366805E-2"/>
        <bgColor indexed="64"/>
      </patternFill>
    </fill>
    <fill>
      <patternFill patternType="solid">
        <fgColor theme="6" tint="0.59999389629810485"/>
        <bgColor rgb="FFF2FFAD"/>
      </patternFill>
    </fill>
    <fill>
      <patternFill patternType="solid">
        <fgColor rgb="FFFFFF66"/>
        <bgColor indexed="64"/>
      </patternFill>
    </fill>
  </fills>
  <borders count="10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double">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medium">
        <color indexed="64"/>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bottom/>
      <diagonal/>
    </border>
    <border>
      <left/>
      <right style="thin">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top style="medium">
        <color indexed="64"/>
      </top>
      <bottom/>
      <diagonal/>
    </border>
    <border>
      <left style="medium">
        <color indexed="64"/>
      </left>
      <right style="medium">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rgb="FF434343"/>
      </left>
      <right style="thin">
        <color rgb="FF434343"/>
      </right>
      <top/>
      <bottom style="thin">
        <color rgb="FF434343"/>
      </bottom>
      <diagonal/>
    </border>
    <border>
      <left style="thin">
        <color rgb="FF434343"/>
      </left>
      <right style="thin">
        <color rgb="FF434343"/>
      </right>
      <top style="thin">
        <color rgb="FF434343"/>
      </top>
      <bottom style="thin">
        <color rgb="FF434343"/>
      </bottom>
      <diagonal/>
    </border>
    <border>
      <left/>
      <right style="thin">
        <color rgb="FF434343"/>
      </right>
      <top style="thin">
        <color rgb="FF434343"/>
      </top>
      <bottom/>
      <diagonal/>
    </border>
    <border>
      <left style="thin">
        <color rgb="FF434343"/>
      </left>
      <right style="thin">
        <color rgb="FF434343"/>
      </right>
      <top style="thin">
        <color rgb="FF434343"/>
      </top>
      <bottom/>
      <diagonal/>
    </border>
    <border>
      <left style="thin">
        <color rgb="FF434343"/>
      </left>
      <right style="thin">
        <color rgb="FF434343"/>
      </right>
      <top style="medium">
        <color indexed="64"/>
      </top>
      <bottom style="medium">
        <color indexed="64"/>
      </bottom>
      <diagonal/>
    </border>
    <border>
      <left style="medium">
        <color indexed="64"/>
      </left>
      <right style="thin">
        <color rgb="FF434343"/>
      </right>
      <top/>
      <bottom style="thin">
        <color rgb="FF434343"/>
      </bottom>
      <diagonal/>
    </border>
    <border>
      <left style="thin">
        <color rgb="FF434343"/>
      </left>
      <right style="medium">
        <color indexed="64"/>
      </right>
      <top/>
      <bottom style="thin">
        <color rgb="FF434343"/>
      </bottom>
      <diagonal/>
    </border>
    <border>
      <left style="medium">
        <color indexed="64"/>
      </left>
      <right style="thin">
        <color rgb="FF434343"/>
      </right>
      <top style="thin">
        <color rgb="FF434343"/>
      </top>
      <bottom style="thin">
        <color rgb="FF434343"/>
      </bottom>
      <diagonal/>
    </border>
    <border>
      <left style="thin">
        <color rgb="FF434343"/>
      </left>
      <right style="medium">
        <color indexed="64"/>
      </right>
      <top style="thin">
        <color rgb="FF434343"/>
      </top>
      <bottom style="thin">
        <color rgb="FF434343"/>
      </bottom>
      <diagonal/>
    </border>
    <border>
      <left style="thin">
        <color rgb="FF434343"/>
      </left>
      <right style="medium">
        <color indexed="64"/>
      </right>
      <top style="thin">
        <color rgb="FF434343"/>
      </top>
      <bottom/>
      <diagonal/>
    </border>
    <border>
      <left style="medium">
        <color indexed="64"/>
      </left>
      <right style="thin">
        <color rgb="FF434343"/>
      </right>
      <top style="thin">
        <color rgb="FF434343"/>
      </top>
      <bottom/>
      <diagonal/>
    </border>
    <border>
      <left style="medium">
        <color rgb="FF434343"/>
      </left>
      <right style="medium">
        <color indexed="64"/>
      </right>
      <top style="medium">
        <color indexed="64"/>
      </top>
      <bottom style="medium">
        <color indexed="64"/>
      </bottom>
      <diagonal/>
    </border>
    <border>
      <left style="thin">
        <color rgb="FF434343"/>
      </left>
      <right style="medium">
        <color indexed="64"/>
      </right>
      <top style="medium">
        <color indexed="64"/>
      </top>
      <bottom style="medium">
        <color indexed="64"/>
      </bottom>
      <diagonal/>
    </border>
    <border>
      <left style="thin">
        <color rgb="FF434343"/>
      </left>
      <right style="thin">
        <color rgb="FF434343"/>
      </right>
      <top/>
      <bottom/>
      <diagonal/>
    </border>
    <border>
      <left style="thin">
        <color rgb="FF434343"/>
      </left>
      <right style="medium">
        <color indexed="64"/>
      </right>
      <top/>
      <bottom/>
      <diagonal/>
    </border>
    <border>
      <left style="medium">
        <color indexed="64"/>
      </left>
      <right style="thin">
        <color rgb="FF434343"/>
      </right>
      <top style="thin">
        <color rgb="FF434343"/>
      </top>
      <bottom style="thin">
        <color indexed="64"/>
      </bottom>
      <diagonal/>
    </border>
    <border>
      <left style="thin">
        <color rgb="FF434343"/>
      </left>
      <right style="thin">
        <color rgb="FF434343"/>
      </right>
      <top style="thin">
        <color rgb="FF434343"/>
      </top>
      <bottom style="thin">
        <color indexed="64"/>
      </bottom>
      <diagonal/>
    </border>
    <border>
      <left style="thin">
        <color rgb="FF434343"/>
      </left>
      <right style="medium">
        <color indexed="64"/>
      </right>
      <top style="thin">
        <color rgb="FF434343"/>
      </top>
      <bottom style="thin">
        <color indexed="64"/>
      </bottom>
      <diagonal/>
    </border>
    <border>
      <left style="thin">
        <color rgb="FF434343"/>
      </left>
      <right style="thin">
        <color rgb="FF434343"/>
      </right>
      <top/>
      <bottom style="medium">
        <color indexed="64"/>
      </bottom>
      <diagonal/>
    </border>
    <border>
      <left style="thin">
        <color rgb="FF434343"/>
      </left>
      <right style="medium">
        <color indexed="64"/>
      </right>
      <top/>
      <bottom style="medium">
        <color indexed="64"/>
      </bottom>
      <diagonal/>
    </border>
    <border>
      <left style="thin">
        <color rgb="FF434343"/>
      </left>
      <right/>
      <top style="thin">
        <color rgb="FF434343"/>
      </top>
      <bottom style="thin">
        <color rgb="FF434343"/>
      </bottom>
      <diagonal/>
    </border>
    <border>
      <left style="thin">
        <color rgb="FF434343"/>
      </left>
      <right/>
      <top style="thin">
        <color rgb="FF434343"/>
      </top>
      <bottom/>
      <diagonal/>
    </border>
    <border>
      <left/>
      <right style="thin">
        <color rgb="FF434343"/>
      </right>
      <top style="thin">
        <color rgb="FF434343"/>
      </top>
      <bottom style="thin">
        <color rgb="FF434343"/>
      </bottom>
      <diagonal/>
    </border>
    <border>
      <left style="medium">
        <color rgb="FF434343"/>
      </left>
      <right/>
      <top style="medium">
        <color indexed="64"/>
      </top>
      <bottom style="medium">
        <color indexed="64"/>
      </bottom>
      <diagonal/>
    </border>
    <border>
      <left/>
      <right style="medium">
        <color indexed="64"/>
      </right>
      <top/>
      <bottom style="thin">
        <color rgb="FF434343"/>
      </bottom>
      <diagonal/>
    </border>
    <border>
      <left/>
      <right style="medium">
        <color indexed="64"/>
      </right>
      <top style="thin">
        <color rgb="FF434343"/>
      </top>
      <bottom style="thin">
        <color rgb="FF434343"/>
      </bottom>
      <diagonal/>
    </border>
    <border>
      <left/>
      <right style="medium">
        <color indexed="64"/>
      </right>
      <top style="thin">
        <color rgb="FF434343"/>
      </top>
      <bottom/>
      <diagonal/>
    </border>
    <border>
      <left style="thin">
        <color rgb="FF434343"/>
      </left>
      <right style="thin">
        <color rgb="FF434343"/>
      </right>
      <top style="thin">
        <color indexed="64"/>
      </top>
      <bottom style="medium">
        <color indexed="64"/>
      </bottom>
      <diagonal/>
    </border>
    <border>
      <left style="thin">
        <color rgb="FF434343"/>
      </left>
      <right/>
      <top style="thin">
        <color rgb="FF434343"/>
      </top>
      <bottom style="thin">
        <color indexed="64"/>
      </bottom>
      <diagonal/>
    </border>
    <border>
      <left/>
      <right style="thin">
        <color rgb="FF434343"/>
      </right>
      <top style="thin">
        <color rgb="FF434343"/>
      </top>
      <bottom style="thin">
        <color indexed="64"/>
      </bottom>
      <diagonal/>
    </border>
    <border>
      <left/>
      <right style="medium">
        <color rgb="FF434343"/>
      </right>
      <top style="medium">
        <color indexed="64"/>
      </top>
      <bottom style="medium">
        <color indexed="64"/>
      </bottom>
      <diagonal/>
    </border>
    <border>
      <left style="thin">
        <color rgb="FF434343"/>
      </left>
      <right/>
      <top/>
      <bottom style="medium">
        <color indexed="64"/>
      </bottom>
      <diagonal/>
    </border>
    <border>
      <left/>
      <right style="thin">
        <color rgb="FF434343"/>
      </right>
      <top/>
      <bottom style="medium">
        <color indexed="64"/>
      </bottom>
      <diagonal/>
    </border>
    <border>
      <left style="thin">
        <color rgb="FF434343"/>
      </left>
      <right/>
      <top/>
      <bottom style="thin">
        <color rgb="FF434343"/>
      </bottom>
      <diagonal/>
    </border>
    <border>
      <left/>
      <right style="thin">
        <color rgb="FF434343"/>
      </right>
      <top/>
      <bottom style="thin">
        <color rgb="FF434343"/>
      </bottom>
      <diagonal/>
    </border>
    <border>
      <left style="medium">
        <color rgb="FF434343"/>
      </left>
      <right style="medium">
        <color rgb="FF434343"/>
      </right>
      <top style="medium">
        <color indexed="64"/>
      </top>
      <bottom style="medium">
        <color indexed="64"/>
      </bottom>
      <diagonal/>
    </border>
    <border>
      <left style="thin">
        <color rgb="FF434343"/>
      </left>
      <right/>
      <top/>
      <bottom/>
      <diagonal/>
    </border>
    <border>
      <left/>
      <right style="thin">
        <color rgb="FF434343"/>
      </right>
      <top/>
      <bottom/>
      <diagonal/>
    </border>
    <border>
      <left/>
      <right style="thin">
        <color rgb="FF434343"/>
      </right>
      <top style="medium">
        <color indexed="64"/>
      </top>
      <bottom style="medium">
        <color indexed="64"/>
      </bottom>
      <diagonal/>
    </border>
    <border>
      <left/>
      <right style="thin">
        <color rgb="FF434343"/>
      </right>
      <top style="thin">
        <color indexed="64"/>
      </top>
      <bottom style="medium">
        <color indexed="64"/>
      </bottom>
      <diagonal/>
    </border>
  </borders>
  <cellStyleXfs count="368">
    <xf numFmtId="0" fontId="0"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34" fillId="2" borderId="0" applyNumberFormat="0" applyBorder="0" applyAlignment="0" applyProtection="0"/>
    <xf numFmtId="0" fontId="2" fillId="2" borderId="0" applyNumberFormat="0" applyBorder="0" applyAlignment="0" applyProtection="0"/>
    <xf numFmtId="0" fontId="34" fillId="3" borderId="0" applyNumberFormat="0" applyBorder="0" applyAlignment="0" applyProtection="0"/>
    <xf numFmtId="0" fontId="2" fillId="3" borderId="0" applyNumberFormat="0" applyBorder="0" applyAlignment="0" applyProtection="0"/>
    <xf numFmtId="0" fontId="34" fillId="4" borderId="0" applyNumberFormat="0" applyBorder="0" applyAlignment="0" applyProtection="0"/>
    <xf numFmtId="0" fontId="2" fillId="4" borderId="0" applyNumberFormat="0" applyBorder="0" applyAlignment="0" applyProtection="0"/>
    <xf numFmtId="0" fontId="34" fillId="5" borderId="0" applyNumberFormat="0" applyBorder="0" applyAlignment="0" applyProtection="0"/>
    <xf numFmtId="0" fontId="2" fillId="5" borderId="0" applyNumberFormat="0" applyBorder="0" applyAlignment="0" applyProtection="0"/>
    <xf numFmtId="0" fontId="34" fillId="6" borderId="0" applyNumberFormat="0" applyBorder="0" applyAlignment="0" applyProtection="0"/>
    <xf numFmtId="0" fontId="2" fillId="6" borderId="0" applyNumberFormat="0" applyBorder="0" applyAlignment="0" applyProtection="0"/>
    <xf numFmtId="0" fontId="34"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4" fillId="8" borderId="0" applyNumberFormat="0" applyBorder="0" applyAlignment="0" applyProtection="0"/>
    <xf numFmtId="0" fontId="2" fillId="8" borderId="0" applyNumberFormat="0" applyBorder="0" applyAlignment="0" applyProtection="0"/>
    <xf numFmtId="0" fontId="34" fillId="9" borderId="0" applyNumberFormat="0" applyBorder="0" applyAlignment="0" applyProtection="0"/>
    <xf numFmtId="0" fontId="2" fillId="9" borderId="0" applyNumberFormat="0" applyBorder="0" applyAlignment="0" applyProtection="0"/>
    <xf numFmtId="0" fontId="34" fillId="10" borderId="0" applyNumberFormat="0" applyBorder="0" applyAlignment="0" applyProtection="0"/>
    <xf numFmtId="0" fontId="2" fillId="10" borderId="0" applyNumberFormat="0" applyBorder="0" applyAlignment="0" applyProtection="0"/>
    <xf numFmtId="0" fontId="34" fillId="5" borderId="0" applyNumberFormat="0" applyBorder="0" applyAlignment="0" applyProtection="0"/>
    <xf numFmtId="0" fontId="2" fillId="5" borderId="0" applyNumberFormat="0" applyBorder="0" applyAlignment="0" applyProtection="0"/>
    <xf numFmtId="0" fontId="34" fillId="8" borderId="0" applyNumberFormat="0" applyBorder="0" applyAlignment="0" applyProtection="0"/>
    <xf numFmtId="0" fontId="2" fillId="8" borderId="0" applyNumberFormat="0" applyBorder="0" applyAlignment="0" applyProtection="0"/>
    <xf numFmtId="0" fontId="34" fillId="11" borderId="0" applyNumberFormat="0" applyBorder="0" applyAlignment="0" applyProtection="0"/>
    <xf numFmtId="0" fontId="2"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35" fillId="12" borderId="0" applyNumberFormat="0" applyBorder="0" applyAlignment="0" applyProtection="0"/>
    <xf numFmtId="0" fontId="17" fillId="12" borderId="0" applyNumberFormat="0" applyBorder="0" applyAlignment="0" applyProtection="0"/>
    <xf numFmtId="0" fontId="35" fillId="9" borderId="0" applyNumberFormat="0" applyBorder="0" applyAlignment="0" applyProtection="0"/>
    <xf numFmtId="0" fontId="17" fillId="9" borderId="0" applyNumberFormat="0" applyBorder="0" applyAlignment="0" applyProtection="0"/>
    <xf numFmtId="0" fontId="35" fillId="10" borderId="0" applyNumberFormat="0" applyBorder="0" applyAlignment="0" applyProtection="0"/>
    <xf numFmtId="0" fontId="17" fillId="10" borderId="0" applyNumberFormat="0" applyBorder="0" applyAlignment="0" applyProtection="0"/>
    <xf numFmtId="0" fontId="35" fillId="13" borderId="0" applyNumberFormat="0" applyBorder="0" applyAlignment="0" applyProtection="0"/>
    <xf numFmtId="0" fontId="17" fillId="13" borderId="0" applyNumberFormat="0" applyBorder="0" applyAlignment="0" applyProtection="0"/>
    <xf numFmtId="0" fontId="35" fillId="14" borderId="0" applyNumberFormat="0" applyBorder="0" applyAlignment="0" applyProtection="0"/>
    <xf numFmtId="0" fontId="17" fillId="14" borderId="0" applyNumberFormat="0" applyBorder="0" applyAlignment="0" applyProtection="0"/>
    <xf numFmtId="0" fontId="35" fillId="15"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28" fillId="3" borderId="0" applyNumberFormat="0" applyBorder="0" applyAlignment="0" applyProtection="0"/>
    <xf numFmtId="0" fontId="20" fillId="20" borderId="1" applyNumberFormat="0" applyAlignment="0" applyProtection="0"/>
    <xf numFmtId="0" fontId="25" fillId="21" borderId="2" applyNumberFormat="0" applyAlignment="0" applyProtection="0"/>
    <xf numFmtId="49" fontId="36" fillId="0" borderId="3">
      <alignment horizontal="center" vertical="center"/>
      <protection locked="0"/>
    </xf>
    <xf numFmtId="49" fontId="36" fillId="0" borderId="3">
      <alignment horizontal="center" vertical="center"/>
      <protection locked="0"/>
    </xf>
    <xf numFmtId="49" fontId="36" fillId="0" borderId="3">
      <alignment horizontal="center" vertical="center"/>
      <protection locked="0"/>
    </xf>
    <xf numFmtId="49" fontId="36" fillId="0" borderId="3">
      <alignment horizontal="center" vertical="center"/>
      <protection locked="0"/>
    </xf>
    <xf numFmtId="49" fontId="36" fillId="0" borderId="3">
      <alignment horizontal="center" vertical="center"/>
      <protection locked="0"/>
    </xf>
    <xf numFmtId="49" fontId="36" fillId="0" borderId="3">
      <alignment horizontal="center" vertical="center"/>
      <protection locked="0"/>
    </xf>
    <xf numFmtId="49" fontId="36" fillId="0" borderId="3">
      <alignment horizontal="center" vertical="center"/>
      <protection locked="0"/>
    </xf>
    <xf numFmtId="49" fontId="36" fillId="0" borderId="3">
      <alignment horizontal="center" vertical="center"/>
      <protection locked="0"/>
    </xf>
    <xf numFmtId="49" fontId="36" fillId="0" borderId="3">
      <alignment horizontal="center" vertical="center"/>
      <protection locked="0"/>
    </xf>
    <xf numFmtId="49" fontId="36" fillId="0" borderId="3">
      <alignment horizontal="center" vertical="center"/>
      <protection locked="0"/>
    </xf>
    <xf numFmtId="49" fontId="36" fillId="0" borderId="3">
      <alignment horizontal="center" vertical="center"/>
      <protection locked="0"/>
    </xf>
    <xf numFmtId="49" fontId="36" fillId="0" borderId="3">
      <alignment horizontal="center" vertical="center"/>
      <protection locked="0"/>
    </xf>
    <xf numFmtId="49" fontId="36" fillId="0" borderId="3">
      <alignment horizontal="center" vertical="center"/>
      <protection locked="0"/>
    </xf>
    <xf numFmtId="168" fontId="14" fillId="0" borderId="0" applyFont="0" applyFill="0" applyBorder="0" applyAlignment="0" applyProtection="0"/>
    <xf numFmtId="49" fontId="14" fillId="0" borderId="3">
      <alignment horizontal="left" vertical="center"/>
      <protection locked="0"/>
    </xf>
    <xf numFmtId="49" fontId="14" fillId="0" borderId="3">
      <alignment horizontal="left" vertical="center"/>
      <protection locked="0"/>
    </xf>
    <xf numFmtId="49" fontId="14" fillId="0" borderId="3">
      <alignment horizontal="left" vertical="center"/>
      <protection locked="0"/>
    </xf>
    <xf numFmtId="49" fontId="14" fillId="0" borderId="3">
      <alignment horizontal="left" vertical="center"/>
      <protection locked="0"/>
    </xf>
    <xf numFmtId="49" fontId="14" fillId="0" borderId="3">
      <alignment horizontal="left" vertical="center"/>
      <protection locked="0"/>
    </xf>
    <xf numFmtId="49" fontId="14" fillId="0" borderId="3">
      <alignment horizontal="left" vertical="center"/>
      <protection locked="0"/>
    </xf>
    <xf numFmtId="49" fontId="14" fillId="0" borderId="3">
      <alignment horizontal="left" vertical="center"/>
      <protection locked="0"/>
    </xf>
    <xf numFmtId="49" fontId="14" fillId="0" borderId="3">
      <alignment horizontal="left" vertical="center"/>
      <protection locked="0"/>
    </xf>
    <xf numFmtId="49" fontId="14" fillId="0" borderId="3">
      <alignment horizontal="left" vertical="center"/>
      <protection locked="0"/>
    </xf>
    <xf numFmtId="49" fontId="14" fillId="0" borderId="3">
      <alignment horizontal="left" vertical="center"/>
      <protection locked="0"/>
    </xf>
    <xf numFmtId="49" fontId="14" fillId="0" borderId="3">
      <alignment horizontal="left" vertical="center"/>
      <protection locked="0"/>
    </xf>
    <xf numFmtId="49" fontId="14" fillId="0" borderId="3">
      <alignment horizontal="left" vertical="center"/>
      <protection locked="0"/>
    </xf>
    <xf numFmtId="49" fontId="14" fillId="0" borderId="3">
      <alignment horizontal="left" vertical="center"/>
      <protection locked="0"/>
    </xf>
    <xf numFmtId="49" fontId="14" fillId="0" borderId="3">
      <alignment horizontal="left" vertical="center"/>
      <protection locked="0"/>
    </xf>
    <xf numFmtId="49" fontId="14" fillId="0" borderId="3">
      <alignment horizontal="left" vertical="center"/>
      <protection locked="0"/>
    </xf>
    <xf numFmtId="49" fontId="14" fillId="0" borderId="3">
      <alignment horizontal="left" vertical="center"/>
      <protection locked="0"/>
    </xf>
    <xf numFmtId="49" fontId="14" fillId="0" borderId="3">
      <alignment horizontal="left" vertical="center"/>
      <protection locked="0"/>
    </xf>
    <xf numFmtId="0" fontId="29" fillId="0" borderId="0" applyNumberFormat="0" applyFill="0" applyBorder="0" applyAlignment="0" applyProtection="0"/>
    <xf numFmtId="171" fontId="37" fillId="0" borderId="0" applyAlignment="0">
      <alignment wrapText="1"/>
    </xf>
    <xf numFmtId="0" fontId="32" fillId="4" borderId="0" applyNumberFormat="0" applyBorder="0" applyAlignment="0" applyProtection="0"/>
    <xf numFmtId="0" fontId="21" fillId="0" borderId="4" applyNumberFormat="0" applyFill="0" applyAlignment="0" applyProtection="0"/>
    <xf numFmtId="0" fontId="22" fillId="0" borderId="5" applyNumberFormat="0" applyFill="0" applyAlignment="0" applyProtection="0"/>
    <xf numFmtId="0" fontId="23" fillId="0" borderId="6" applyNumberFormat="0" applyFill="0" applyAlignment="0" applyProtection="0"/>
    <xf numFmtId="0" fontId="23" fillId="0" borderId="0" applyNumberFormat="0" applyFill="0" applyBorder="0" applyAlignment="0" applyProtection="0"/>
    <xf numFmtId="0" fontId="38" fillId="0" borderId="0" applyNumberFormat="0" applyFill="0" applyBorder="0" applyAlignment="0" applyProtection="0">
      <alignment vertical="top"/>
      <protection locked="0"/>
    </xf>
    <xf numFmtId="0" fontId="18" fillId="7" borderId="1" applyNumberFormat="0" applyAlignment="0" applyProtection="0"/>
    <xf numFmtId="49" fontId="14" fillId="0" borderId="0" applyNumberFormat="0" applyFont="0" applyAlignment="0">
      <alignment vertical="top" wrapText="1"/>
      <protection locked="0"/>
    </xf>
    <xf numFmtId="49" fontId="14" fillId="0" borderId="0" applyNumberFormat="0" applyFont="0" applyAlignment="0">
      <alignment vertical="top" wrapText="1"/>
    </xf>
    <xf numFmtId="49" fontId="14" fillId="0" borderId="0" applyNumberFormat="0" applyFont="0" applyAlignment="0">
      <alignment vertical="top" wrapText="1"/>
    </xf>
    <xf numFmtId="49" fontId="14" fillId="0" borderId="0" applyNumberFormat="0" applyFont="0" applyAlignment="0">
      <alignment vertical="top" wrapText="1"/>
      <protection locked="0"/>
    </xf>
    <xf numFmtId="49" fontId="14" fillId="0" borderId="0" applyNumberFormat="0" applyFont="0" applyAlignment="0">
      <alignment vertical="top" wrapText="1"/>
    </xf>
    <xf numFmtId="49" fontId="14" fillId="0" borderId="0" applyNumberFormat="0" applyFont="0" applyAlignment="0">
      <alignment vertical="top" wrapText="1"/>
      <protection locked="0"/>
    </xf>
    <xf numFmtId="49" fontId="14" fillId="0" borderId="0" applyNumberFormat="0" applyFont="0" applyAlignment="0">
      <alignment vertical="top" wrapText="1"/>
    </xf>
    <xf numFmtId="49" fontId="14" fillId="0" borderId="0" applyNumberFormat="0" applyFont="0" applyAlignment="0">
      <alignment vertical="top" wrapText="1"/>
      <protection locked="0"/>
    </xf>
    <xf numFmtId="49" fontId="14" fillId="0" borderId="0" applyNumberFormat="0" applyFont="0" applyAlignment="0">
      <alignment vertical="top" wrapText="1"/>
      <protection locked="0"/>
    </xf>
    <xf numFmtId="49" fontId="14" fillId="0" borderId="0" applyNumberFormat="0" applyFont="0" applyAlignment="0">
      <alignment vertical="top" wrapText="1"/>
      <protection locked="0"/>
    </xf>
    <xf numFmtId="49" fontId="14" fillId="0" borderId="0" applyNumberFormat="0" applyFont="0" applyAlignment="0">
      <alignment vertical="top" wrapText="1"/>
      <protection locked="0"/>
    </xf>
    <xf numFmtId="49" fontId="14" fillId="0" borderId="0" applyNumberFormat="0" applyFont="0" applyAlignment="0">
      <alignment vertical="top" wrapText="1"/>
      <protection locked="0"/>
    </xf>
    <xf numFmtId="49" fontId="14" fillId="0" borderId="0" applyNumberFormat="0" applyFont="0" applyAlignment="0">
      <alignment vertical="top" wrapText="1"/>
      <protection locked="0"/>
    </xf>
    <xf numFmtId="49" fontId="14" fillId="0" borderId="0" applyNumberFormat="0" applyFont="0" applyAlignment="0">
      <alignment vertical="top" wrapText="1"/>
      <protection locked="0"/>
    </xf>
    <xf numFmtId="49" fontId="14" fillId="0" borderId="0" applyNumberFormat="0" applyFont="0" applyAlignment="0">
      <alignment vertical="top" wrapText="1"/>
      <protection locked="0"/>
    </xf>
    <xf numFmtId="49" fontId="14" fillId="0" borderId="0" applyNumberFormat="0" applyFont="0" applyAlignment="0">
      <alignment vertical="top" wrapText="1"/>
      <protection locked="0"/>
    </xf>
    <xf numFmtId="49" fontId="14" fillId="0" borderId="0" applyNumberFormat="0" applyFont="0" applyAlignment="0">
      <alignment vertical="top" wrapText="1"/>
      <protection locked="0"/>
    </xf>
    <xf numFmtId="49" fontId="14" fillId="0" borderId="0" applyNumberFormat="0" applyFont="0" applyAlignment="0">
      <alignment vertical="top" wrapText="1"/>
      <protection locked="0"/>
    </xf>
    <xf numFmtId="49" fontId="14" fillId="0" borderId="0" applyNumberFormat="0" applyFont="0" applyAlignment="0">
      <alignment vertical="top" wrapText="1"/>
      <protection locked="0"/>
    </xf>
    <xf numFmtId="49" fontId="14" fillId="0" borderId="0" applyNumberFormat="0" applyFont="0" applyAlignment="0">
      <alignment vertical="top" wrapText="1"/>
      <protection locked="0"/>
    </xf>
    <xf numFmtId="49" fontId="39" fillId="22" borderId="7">
      <alignment horizontal="left" vertical="center"/>
      <protection locked="0"/>
    </xf>
    <xf numFmtId="49" fontId="39" fillId="22" borderId="7">
      <alignment horizontal="left" vertical="center"/>
    </xf>
    <xf numFmtId="4" fontId="39" fillId="22" borderId="7">
      <alignment horizontal="right" vertical="center"/>
      <protection locked="0"/>
    </xf>
    <xf numFmtId="4" fontId="39" fillId="22" borderId="7">
      <alignment horizontal="right" vertical="center"/>
    </xf>
    <xf numFmtId="4" fontId="40" fillId="22" borderId="7">
      <alignment horizontal="right" vertical="center"/>
      <protection locked="0"/>
    </xf>
    <xf numFmtId="49" fontId="41" fillId="22" borderId="3">
      <alignment horizontal="left" vertical="center"/>
      <protection locked="0"/>
    </xf>
    <xf numFmtId="49" fontId="41" fillId="22" borderId="3">
      <alignment horizontal="left" vertical="center"/>
    </xf>
    <xf numFmtId="49" fontId="42" fillId="22" borderId="3">
      <alignment horizontal="left" vertical="center"/>
      <protection locked="0"/>
    </xf>
    <xf numFmtId="49" fontId="42" fillId="22" borderId="3">
      <alignment horizontal="left" vertical="center"/>
    </xf>
    <xf numFmtId="4" fontId="41" fillId="22" borderId="3">
      <alignment horizontal="right" vertical="center"/>
      <protection locked="0"/>
    </xf>
    <xf numFmtId="4" fontId="41" fillId="22" borderId="3">
      <alignment horizontal="right" vertical="center"/>
    </xf>
    <xf numFmtId="4" fontId="43" fillId="22" borderId="3">
      <alignment horizontal="right" vertical="center"/>
      <protection locked="0"/>
    </xf>
    <xf numFmtId="49" fontId="36" fillId="22" borderId="3">
      <alignment horizontal="left" vertical="center"/>
      <protection locked="0"/>
    </xf>
    <xf numFmtId="49" fontId="36" fillId="22" borderId="3">
      <alignment horizontal="left" vertical="center"/>
      <protection locked="0"/>
    </xf>
    <xf numFmtId="49" fontId="36" fillId="22" borderId="3">
      <alignment horizontal="left" vertical="center"/>
    </xf>
    <xf numFmtId="49" fontId="36" fillId="22" borderId="3">
      <alignment horizontal="left" vertical="center"/>
    </xf>
    <xf numFmtId="49" fontId="40" fillId="22" borderId="3">
      <alignment horizontal="left" vertical="center"/>
      <protection locked="0"/>
    </xf>
    <xf numFmtId="49" fontId="40" fillId="22" borderId="3">
      <alignment horizontal="left" vertical="center"/>
    </xf>
    <xf numFmtId="4" fontId="36" fillId="22" borderId="3">
      <alignment horizontal="right" vertical="center"/>
      <protection locked="0"/>
    </xf>
    <xf numFmtId="4" fontId="36" fillId="22" borderId="3">
      <alignment horizontal="right" vertical="center"/>
      <protection locked="0"/>
    </xf>
    <xf numFmtId="4" fontId="36" fillId="22" borderId="3">
      <alignment horizontal="right" vertical="center"/>
    </xf>
    <xf numFmtId="4" fontId="36" fillId="22" borderId="3">
      <alignment horizontal="right" vertical="center"/>
    </xf>
    <xf numFmtId="4" fontId="40" fillId="22" borderId="3">
      <alignment horizontal="right" vertical="center"/>
      <protection locked="0"/>
    </xf>
    <xf numFmtId="49" fontId="44" fillId="22" borderId="3">
      <alignment horizontal="left" vertical="center"/>
      <protection locked="0"/>
    </xf>
    <xf numFmtId="49" fontId="44" fillId="22" borderId="3">
      <alignment horizontal="left" vertical="center"/>
    </xf>
    <xf numFmtId="49" fontId="45" fillId="22" borderId="3">
      <alignment horizontal="left" vertical="center"/>
      <protection locked="0"/>
    </xf>
    <xf numFmtId="49" fontId="45" fillId="22" borderId="3">
      <alignment horizontal="left" vertical="center"/>
    </xf>
    <xf numFmtId="4" fontId="44" fillId="22" borderId="3">
      <alignment horizontal="right" vertical="center"/>
      <protection locked="0"/>
    </xf>
    <xf numFmtId="4" fontId="44" fillId="22" borderId="3">
      <alignment horizontal="right" vertical="center"/>
    </xf>
    <xf numFmtId="4" fontId="46" fillId="22" borderId="3">
      <alignment horizontal="right" vertical="center"/>
      <protection locked="0"/>
    </xf>
    <xf numFmtId="49" fontId="47" fillId="0" borderId="3">
      <alignment horizontal="left" vertical="center"/>
      <protection locked="0"/>
    </xf>
    <xf numFmtId="49" fontId="47" fillId="0" borderId="3">
      <alignment horizontal="left" vertical="center"/>
    </xf>
    <xf numFmtId="49" fontId="48" fillId="0" borderId="3">
      <alignment horizontal="left" vertical="center"/>
      <protection locked="0"/>
    </xf>
    <xf numFmtId="49" fontId="48" fillId="0" borderId="3">
      <alignment horizontal="left" vertical="center"/>
    </xf>
    <xf numFmtId="4" fontId="47" fillId="0" borderId="3">
      <alignment horizontal="right" vertical="center"/>
      <protection locked="0"/>
    </xf>
    <xf numFmtId="4" fontId="47" fillId="0" borderId="3">
      <alignment horizontal="right" vertical="center"/>
    </xf>
    <xf numFmtId="4" fontId="48" fillId="0" borderId="3">
      <alignment horizontal="right" vertical="center"/>
      <protection locked="0"/>
    </xf>
    <xf numFmtId="49" fontId="49" fillId="0" borderId="3">
      <alignment horizontal="left" vertical="center"/>
      <protection locked="0"/>
    </xf>
    <xf numFmtId="49" fontId="49" fillId="0" borderId="3">
      <alignment horizontal="left" vertical="center"/>
    </xf>
    <xf numFmtId="49" fontId="50" fillId="0" borderId="3">
      <alignment horizontal="left" vertical="center"/>
      <protection locked="0"/>
    </xf>
    <xf numFmtId="49" fontId="50" fillId="0" borderId="3">
      <alignment horizontal="left" vertical="center"/>
    </xf>
    <xf numFmtId="4" fontId="49" fillId="0" borderId="3">
      <alignment horizontal="right" vertical="center"/>
      <protection locked="0"/>
    </xf>
    <xf numFmtId="4" fontId="49" fillId="0" borderId="3">
      <alignment horizontal="right" vertical="center"/>
    </xf>
    <xf numFmtId="49" fontId="47" fillId="0" borderId="3">
      <alignment horizontal="left" vertical="center"/>
      <protection locked="0"/>
    </xf>
    <xf numFmtId="49" fontId="48" fillId="0" borderId="3">
      <alignment horizontal="left" vertical="center"/>
      <protection locked="0"/>
    </xf>
    <xf numFmtId="4" fontId="47" fillId="0" borderId="3">
      <alignment horizontal="right" vertical="center"/>
      <protection locked="0"/>
    </xf>
    <xf numFmtId="0" fontId="30" fillId="0" borderId="8" applyNumberFormat="0" applyFill="0" applyAlignment="0" applyProtection="0"/>
    <xf numFmtId="0" fontId="27" fillId="23" borderId="0" applyNumberFormat="0" applyBorder="0" applyAlignment="0" applyProtection="0"/>
    <xf numFmtId="0" fontId="14" fillId="0" borderId="0"/>
    <xf numFmtId="0" fontId="14" fillId="0" borderId="0"/>
    <xf numFmtId="0" fontId="14" fillId="24" borderId="0" applyNumberFormat="0" applyFill="0" applyAlignment="0">
      <alignment horizontal="center"/>
      <protection locked="0"/>
    </xf>
    <xf numFmtId="0" fontId="3" fillId="25" borderId="9" applyNumberFormat="0" applyFont="0" applyAlignment="0" applyProtection="0"/>
    <xf numFmtId="4" fontId="51" fillId="26" borderId="3">
      <alignment horizontal="right" vertical="center"/>
      <protection locked="0"/>
    </xf>
    <xf numFmtId="4" fontId="51" fillId="27" borderId="3">
      <alignment horizontal="right" vertical="center"/>
      <protection locked="0"/>
    </xf>
    <xf numFmtId="4" fontId="51" fillId="28" borderId="3">
      <alignment horizontal="right" vertical="center"/>
      <protection locked="0"/>
    </xf>
    <xf numFmtId="0" fontId="19" fillId="20" borderId="10" applyNumberFormat="0" applyAlignment="0" applyProtection="0"/>
    <xf numFmtId="49" fontId="36" fillId="0" borderId="3">
      <alignment horizontal="left" vertical="center" wrapText="1"/>
      <protection locked="0"/>
    </xf>
    <xf numFmtId="49" fontId="36" fillId="0" borderId="3">
      <alignment horizontal="left" vertical="center" wrapText="1"/>
      <protection locked="0"/>
    </xf>
    <xf numFmtId="0" fontId="26" fillId="0" borderId="0" applyNumberFormat="0" applyFill="0" applyBorder="0" applyAlignment="0" applyProtection="0"/>
    <xf numFmtId="0" fontId="24" fillId="0" borderId="11" applyNumberFormat="0" applyFill="0" applyAlignment="0" applyProtection="0"/>
    <xf numFmtId="0" fontId="31" fillId="0" borderId="0" applyNumberFormat="0" applyFill="0" applyBorder="0" applyAlignment="0" applyProtection="0"/>
    <xf numFmtId="0" fontId="35" fillId="16" borderId="0" applyNumberFormat="0" applyBorder="0" applyAlignment="0" applyProtection="0"/>
    <xf numFmtId="0" fontId="17" fillId="16" borderId="0" applyNumberFormat="0" applyBorder="0" applyAlignment="0" applyProtection="0"/>
    <xf numFmtId="0" fontId="35" fillId="17" borderId="0" applyNumberFormat="0" applyBorder="0" applyAlignment="0" applyProtection="0"/>
    <xf numFmtId="0" fontId="17" fillId="17" borderId="0" applyNumberFormat="0" applyBorder="0" applyAlignment="0" applyProtection="0"/>
    <xf numFmtId="0" fontId="35" fillId="18" borderId="0" applyNumberFormat="0" applyBorder="0" applyAlignment="0" applyProtection="0"/>
    <xf numFmtId="0" fontId="17" fillId="18" borderId="0" applyNumberFormat="0" applyBorder="0" applyAlignment="0" applyProtection="0"/>
    <xf numFmtId="0" fontId="35" fillId="13" borderId="0" applyNumberFormat="0" applyBorder="0" applyAlignment="0" applyProtection="0"/>
    <xf numFmtId="0" fontId="17" fillId="13" borderId="0" applyNumberFormat="0" applyBorder="0" applyAlignment="0" applyProtection="0"/>
    <xf numFmtId="0" fontId="35" fillId="14" borderId="0" applyNumberFormat="0" applyBorder="0" applyAlignment="0" applyProtection="0"/>
    <xf numFmtId="0" fontId="17" fillId="14" borderId="0" applyNumberFormat="0" applyBorder="0" applyAlignment="0" applyProtection="0"/>
    <xf numFmtId="0" fontId="35" fillId="19" borderId="0" applyNumberFormat="0" applyBorder="0" applyAlignment="0" applyProtection="0"/>
    <xf numFmtId="0" fontId="17" fillId="19" borderId="0" applyNumberFormat="0" applyBorder="0" applyAlignment="0" applyProtection="0"/>
    <xf numFmtId="0" fontId="52" fillId="7" borderId="1" applyNumberFormat="0" applyAlignment="0" applyProtection="0"/>
    <xf numFmtId="0" fontId="18" fillId="7" borderId="1" applyNumberFormat="0" applyAlignment="0" applyProtection="0"/>
    <xf numFmtId="0" fontId="53" fillId="20" borderId="10" applyNumberFormat="0" applyAlignment="0" applyProtection="0"/>
    <xf numFmtId="0" fontId="19" fillId="20" borderId="10" applyNumberFormat="0" applyAlignment="0" applyProtection="0"/>
    <xf numFmtId="0" fontId="54" fillId="20" borderId="1" applyNumberFormat="0" applyAlignment="0" applyProtection="0"/>
    <xf numFmtId="0" fontId="20" fillId="20" borderId="1" applyNumberFormat="0" applyAlignment="0" applyProtection="0"/>
    <xf numFmtId="172" fontId="14" fillId="0" borderId="0" applyFont="0" applyFill="0" applyBorder="0" applyAlignment="0" applyProtection="0"/>
    <xf numFmtId="0" fontId="55" fillId="0" borderId="4" applyNumberFormat="0" applyFill="0" applyAlignment="0" applyProtection="0"/>
    <xf numFmtId="0" fontId="21" fillId="0" borderId="4" applyNumberFormat="0" applyFill="0" applyAlignment="0" applyProtection="0"/>
    <xf numFmtId="0" fontId="56" fillId="0" borderId="5" applyNumberFormat="0" applyFill="0" applyAlignment="0" applyProtection="0"/>
    <xf numFmtId="0" fontId="22" fillId="0" borderId="5" applyNumberFormat="0" applyFill="0" applyAlignment="0" applyProtection="0"/>
    <xf numFmtId="0" fontId="57" fillId="0" borderId="6" applyNumberFormat="0" applyFill="0" applyAlignment="0" applyProtection="0"/>
    <xf numFmtId="0" fontId="23" fillId="0" borderId="6" applyNumberFormat="0" applyFill="0" applyAlignment="0" applyProtection="0"/>
    <xf numFmtId="0" fontId="57" fillId="0" borderId="0" applyNumberFormat="0" applyFill="0" applyBorder="0" applyAlignment="0" applyProtection="0"/>
    <xf numFmtId="0" fontId="23" fillId="0" borderId="0" applyNumberFormat="0" applyFill="0" applyBorder="0" applyAlignment="0" applyProtection="0"/>
    <xf numFmtId="0" fontId="100" fillId="0" borderId="0"/>
    <xf numFmtId="0" fontId="58" fillId="0" borderId="11" applyNumberFormat="0" applyFill="0" applyAlignment="0" applyProtection="0"/>
    <xf numFmtId="0" fontId="24" fillId="0" borderId="11" applyNumberFormat="0" applyFill="0" applyAlignment="0" applyProtection="0"/>
    <xf numFmtId="0" fontId="59" fillId="21" borderId="2" applyNumberFormat="0" applyAlignment="0" applyProtection="0"/>
    <xf numFmtId="0" fontId="25" fillId="21" borderId="2" applyNumberFormat="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60" fillId="23" borderId="0" applyNumberFormat="0" applyBorder="0" applyAlignment="0" applyProtection="0"/>
    <xf numFmtId="0" fontId="27" fillId="23"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4"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99"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5" fillId="0" borderId="0"/>
    <xf numFmtId="0" fontId="99" fillId="0" borderId="0"/>
    <xf numFmtId="0" fontId="99" fillId="0" borderId="0"/>
    <xf numFmtId="0" fontId="99" fillId="0" borderId="0"/>
    <xf numFmtId="0" fontId="99" fillId="0" borderId="0"/>
    <xf numFmtId="0" fontId="2" fillId="0" borderId="0"/>
    <xf numFmtId="0" fontId="99" fillId="0" borderId="0"/>
    <xf numFmtId="0" fontId="99" fillId="0" borderId="0"/>
    <xf numFmtId="0" fontId="99" fillId="0" borderId="0"/>
    <xf numFmtId="0" fontId="99" fillId="0" borderId="0"/>
    <xf numFmtId="0" fontId="99" fillId="0" borderId="0"/>
    <xf numFmtId="0" fontId="99" fillId="0" borderId="0"/>
    <xf numFmtId="0" fontId="99" fillId="0" borderId="0"/>
    <xf numFmtId="0" fontId="99" fillId="0" borderId="0"/>
    <xf numFmtId="0" fontId="2" fillId="0" borderId="0"/>
    <xf numFmtId="0" fontId="99" fillId="0" borderId="0"/>
    <xf numFmtId="0" fontId="14" fillId="0" borderId="0"/>
    <xf numFmtId="0" fontId="3" fillId="0" borderId="0"/>
    <xf numFmtId="0" fontId="14" fillId="0" borderId="0"/>
    <xf numFmtId="0" fontId="14" fillId="0" borderId="0" applyNumberFormat="0" applyFont="0" applyFill="0" applyBorder="0" applyAlignment="0" applyProtection="0">
      <alignment vertical="top"/>
    </xf>
    <xf numFmtId="0" fontId="14" fillId="0" borderId="0" applyNumberFormat="0" applyFont="0" applyFill="0" applyBorder="0" applyAlignment="0" applyProtection="0">
      <alignment vertical="top"/>
    </xf>
    <xf numFmtId="0" fontId="3" fillId="0" borderId="0"/>
    <xf numFmtId="0" fontId="14" fillId="0" borderId="0"/>
    <xf numFmtId="0" fontId="3" fillId="0" borderId="0"/>
    <xf numFmtId="0" fontId="3" fillId="0" borderId="0"/>
    <xf numFmtId="0" fontId="3" fillId="0" borderId="0"/>
    <xf numFmtId="0" fontId="3" fillId="0" borderId="0"/>
    <xf numFmtId="0" fontId="14" fillId="0" borderId="0"/>
    <xf numFmtId="0" fontId="61" fillId="3" borderId="0" applyNumberFormat="0" applyBorder="0" applyAlignment="0" applyProtection="0"/>
    <xf numFmtId="0" fontId="28" fillId="3" borderId="0" applyNumberFormat="0" applyBorder="0" applyAlignment="0" applyProtection="0"/>
    <xf numFmtId="0" fontId="62" fillId="0" borderId="0" applyNumberFormat="0" applyFill="0" applyBorder="0" applyAlignment="0" applyProtection="0"/>
    <xf numFmtId="0" fontId="29" fillId="0" borderId="0" applyNumberFormat="0" applyFill="0" applyBorder="0" applyAlignment="0" applyProtection="0"/>
    <xf numFmtId="0" fontId="63" fillId="25" borderId="9" applyNumberFormat="0" applyFont="0" applyAlignment="0" applyProtection="0"/>
    <xf numFmtId="0" fontId="14" fillId="25" borderId="9" applyNumberFormat="0" applyFont="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14"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64" fillId="0" borderId="8" applyNumberFormat="0" applyFill="0" applyAlignment="0" applyProtection="0"/>
    <xf numFmtId="0" fontId="30" fillId="0" borderId="8" applyNumberFormat="0" applyFill="0" applyAlignment="0" applyProtection="0"/>
    <xf numFmtId="0" fontId="33" fillId="0" borderId="0"/>
    <xf numFmtId="0" fontId="65" fillId="0" borderId="0"/>
    <xf numFmtId="0" fontId="65" fillId="0" borderId="0"/>
    <xf numFmtId="0" fontId="65" fillId="0" borderId="0"/>
    <xf numFmtId="0" fontId="65" fillId="0" borderId="0"/>
    <xf numFmtId="0" fontId="65" fillId="0" borderId="0"/>
    <xf numFmtId="0" fontId="65" fillId="0" borderId="0"/>
    <xf numFmtId="0" fontId="66" fillId="0" borderId="0" applyNumberFormat="0" applyFill="0" applyBorder="0" applyAlignment="0" applyProtection="0"/>
    <xf numFmtId="0" fontId="31" fillId="0" borderId="0" applyNumberFormat="0" applyFill="0" applyBorder="0" applyAlignment="0" applyProtection="0"/>
    <xf numFmtId="173" fontId="67" fillId="0" borderId="0" applyFont="0" applyFill="0" applyBorder="0" applyAlignment="0" applyProtection="0"/>
    <xf numFmtId="174" fontId="67"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6"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75" fontId="3" fillId="0" borderId="0" applyFont="0" applyFill="0" applyBorder="0" applyAlignment="0" applyProtection="0"/>
    <xf numFmtId="175" fontId="3" fillId="0" borderId="0" applyFont="0" applyFill="0" applyBorder="0" applyAlignment="0" applyProtection="0"/>
    <xf numFmtId="167" fontId="3"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5" fontId="3" fillId="0" borderId="0" applyFont="0" applyFill="0" applyBorder="0" applyAlignment="0" applyProtection="0"/>
    <xf numFmtId="168" fontId="3" fillId="0" borderId="0" applyFont="0" applyFill="0" applyBorder="0" applyAlignment="0" applyProtection="0"/>
    <xf numFmtId="0" fontId="68" fillId="4" borderId="0" applyNumberFormat="0" applyBorder="0" applyAlignment="0" applyProtection="0"/>
    <xf numFmtId="0" fontId="32" fillId="4" borderId="0" applyNumberFormat="0" applyBorder="0" applyAlignment="0" applyProtection="0"/>
    <xf numFmtId="176" fontId="69" fillId="22" borderId="12" applyFill="0" applyBorder="0">
      <alignment horizontal="center" vertical="center" wrapText="1"/>
      <protection locked="0"/>
    </xf>
    <xf numFmtId="171" fontId="70" fillId="0" borderId="0">
      <alignment wrapText="1"/>
    </xf>
    <xf numFmtId="171" fontId="37" fillId="0" borderId="0">
      <alignment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092">
    <xf numFmtId="0" fontId="0" fillId="0" borderId="0" xfId="0"/>
    <xf numFmtId="0" fontId="6" fillId="0" borderId="0" xfId="0" quotePrefix="1" applyFont="1" applyAlignment="1">
      <alignment horizontal="center" vertical="center"/>
    </xf>
    <xf numFmtId="0" fontId="6" fillId="0" borderId="0" xfId="0" applyFont="1" applyAlignment="1">
      <alignment vertical="center"/>
    </xf>
    <xf numFmtId="0" fontId="7" fillId="0" borderId="0" xfId="0" applyFont="1" applyAlignment="1">
      <alignment horizontal="center" vertical="center"/>
    </xf>
    <xf numFmtId="0" fontId="6" fillId="0" borderId="0" xfId="0" applyFont="1" applyAlignment="1">
      <alignment horizontal="center" vertical="center"/>
    </xf>
    <xf numFmtId="0" fontId="5" fillId="0" borderId="0" xfId="0" applyFont="1" applyAlignment="1">
      <alignment vertical="center"/>
    </xf>
    <xf numFmtId="0" fontId="6" fillId="0" borderId="3" xfId="0" applyFont="1" applyBorder="1" applyAlignment="1">
      <alignment horizontal="center" vertical="center"/>
    </xf>
    <xf numFmtId="0" fontId="6" fillId="0" borderId="3" xfId="0" applyFont="1" applyBorder="1" applyAlignment="1">
      <alignment horizontal="center" vertical="center" wrapText="1"/>
    </xf>
    <xf numFmtId="0" fontId="6" fillId="0" borderId="3" xfId="0" applyFont="1" applyBorder="1" applyAlignment="1">
      <alignment horizontal="left" vertical="center" wrapText="1"/>
    </xf>
    <xf numFmtId="0" fontId="5" fillId="0" borderId="3" xfId="0" applyFont="1" applyBorder="1" applyAlignment="1">
      <alignment horizontal="left" vertical="center" wrapText="1"/>
    </xf>
    <xf numFmtId="0" fontId="6" fillId="0" borderId="3" xfId="0" applyFont="1" applyBorder="1" applyAlignment="1">
      <alignment vertical="center" wrapText="1"/>
    </xf>
    <xf numFmtId="0" fontId="5" fillId="0" borderId="0" xfId="0" applyFont="1" applyAlignment="1">
      <alignment horizontal="center" vertical="center"/>
    </xf>
    <xf numFmtId="170" fontId="7" fillId="0" borderId="0" xfId="0" applyNumberFormat="1" applyFont="1" applyAlignment="1">
      <alignment vertical="center"/>
    </xf>
    <xf numFmtId="0" fontId="6" fillId="0" borderId="3" xfId="0" applyFont="1" applyBorder="1" applyAlignment="1">
      <alignment horizontal="center" vertical="center" wrapText="1" shrinkToFit="1"/>
    </xf>
    <xf numFmtId="0" fontId="10" fillId="0" borderId="0" xfId="0" applyFont="1" applyAlignment="1">
      <alignment vertical="center"/>
    </xf>
    <xf numFmtId="0" fontId="11" fillId="0" borderId="0" xfId="0" applyFont="1" applyAlignment="1">
      <alignment vertical="center"/>
    </xf>
    <xf numFmtId="0" fontId="9" fillId="0" borderId="0" xfId="0" applyFont="1" applyAlignment="1">
      <alignment horizontal="center" vertical="center"/>
    </xf>
    <xf numFmtId="0" fontId="6" fillId="0" borderId="0" xfId="0" applyFont="1" applyAlignment="1">
      <alignment horizontal="right" vertical="center"/>
    </xf>
    <xf numFmtId="1" fontId="6" fillId="0" borderId="0" xfId="0" applyNumberFormat="1" applyFont="1" applyAlignment="1">
      <alignment horizontal="center" vertical="center"/>
    </xf>
    <xf numFmtId="0" fontId="6" fillId="0" borderId="0" xfId="0" applyFont="1"/>
    <xf numFmtId="0" fontId="6" fillId="0" borderId="0" xfId="0" applyFont="1" applyAlignment="1">
      <alignment horizontal="left" vertical="center" wrapText="1" shrinkToFit="1"/>
    </xf>
    <xf numFmtId="0" fontId="6" fillId="0" borderId="13" xfId="0" applyFont="1" applyBorder="1" applyAlignment="1">
      <alignment vertical="center"/>
    </xf>
    <xf numFmtId="0" fontId="6" fillId="0" borderId="0" xfId="0" applyFont="1" applyAlignment="1">
      <alignment horizontal="left" vertical="center"/>
    </xf>
    <xf numFmtId="0" fontId="6" fillId="0" borderId="0" xfId="0" applyFont="1" applyAlignment="1">
      <alignment horizontal="left" vertical="center" wrapText="1"/>
    </xf>
    <xf numFmtId="170" fontId="6" fillId="0" borderId="0" xfId="0" applyNumberFormat="1" applyFont="1" applyAlignment="1">
      <alignment horizontal="right" vertical="center" wrapText="1"/>
    </xf>
    <xf numFmtId="170" fontId="6" fillId="0" borderId="0" xfId="0" applyNumberFormat="1" applyFont="1" applyAlignment="1">
      <alignment vertical="center"/>
    </xf>
    <xf numFmtId="0" fontId="13" fillId="0" borderId="0" xfId="0" applyFont="1"/>
    <xf numFmtId="169" fontId="5" fillId="0" borderId="0" xfId="0" applyNumberFormat="1" applyFont="1" applyAlignment="1">
      <alignment horizontal="right" vertical="center" wrapText="1"/>
    </xf>
    <xf numFmtId="169" fontId="5" fillId="0" borderId="0" xfId="0" applyNumberFormat="1" applyFont="1" applyAlignment="1">
      <alignment horizontal="center" vertical="center" wrapText="1"/>
    </xf>
    <xf numFmtId="0" fontId="6" fillId="0" borderId="0" xfId="0" applyFont="1" applyAlignment="1">
      <alignment vertical="center" wrapText="1" shrinkToFit="1"/>
    </xf>
    <xf numFmtId="0" fontId="5" fillId="0" borderId="0" xfId="0" applyFont="1" applyAlignment="1">
      <alignment horizontal="right" vertical="center"/>
    </xf>
    <xf numFmtId="0" fontId="8" fillId="0" borderId="0" xfId="0" applyFont="1" applyAlignment="1">
      <alignment vertical="center"/>
    </xf>
    <xf numFmtId="0" fontId="5" fillId="0" borderId="0" xfId="0" applyFont="1" applyAlignment="1">
      <alignment horizontal="left" vertical="center"/>
    </xf>
    <xf numFmtId="0" fontId="6" fillId="0" borderId="3" xfId="238" applyFont="1" applyBorder="1" applyAlignment="1">
      <alignment horizontal="center" vertical="center"/>
    </xf>
    <xf numFmtId="0" fontId="5" fillId="0" borderId="3" xfId="0" applyFont="1" applyBorder="1" applyAlignment="1">
      <alignment vertical="center" wrapText="1"/>
    </xf>
    <xf numFmtId="0" fontId="6" fillId="0" borderId="13" xfId="0" applyFont="1" applyBorder="1" applyAlignment="1">
      <alignment horizontal="center" vertical="center"/>
    </xf>
    <xf numFmtId="0" fontId="5" fillId="0" borderId="0" xfId="246" applyFont="1" applyAlignment="1">
      <alignment horizontal="center" vertical="center" wrapText="1"/>
    </xf>
    <xf numFmtId="0" fontId="6" fillId="0" borderId="0" xfId="246" applyFont="1" applyAlignment="1">
      <alignment vertical="center"/>
    </xf>
    <xf numFmtId="0" fontId="6" fillId="0" borderId="3" xfId="246" applyFont="1" applyBorder="1" applyAlignment="1">
      <alignment horizontal="left" vertical="center" wrapText="1"/>
    </xf>
    <xf numFmtId="0" fontId="5" fillId="0" borderId="0" xfId="246" applyFont="1" applyAlignment="1">
      <alignment vertical="center"/>
    </xf>
    <xf numFmtId="0" fontId="6" fillId="0" borderId="0" xfId="246" applyFont="1" applyAlignment="1">
      <alignment horizontal="center" vertical="center"/>
    </xf>
    <xf numFmtId="0" fontId="5" fillId="0" borderId="0" xfId="246" applyFont="1" applyAlignment="1">
      <alignment horizontal="center" vertical="center"/>
    </xf>
    <xf numFmtId="0" fontId="6" fillId="0" borderId="0" xfId="0" applyFont="1" applyAlignment="1">
      <alignment horizontal="right" vertical="center" wrapText="1"/>
    </xf>
    <xf numFmtId="0" fontId="6" fillId="0" borderId="0" xfId="0" applyFont="1" applyAlignment="1">
      <alignment vertical="center" wrapText="1"/>
    </xf>
    <xf numFmtId="0" fontId="6" fillId="0" borderId="0" xfId="0" applyFont="1" applyAlignment="1">
      <alignment horizontal="center" vertical="center" wrapText="1"/>
    </xf>
    <xf numFmtId="0" fontId="5" fillId="0" borderId="13" xfId="0" applyFont="1" applyBorder="1" applyAlignment="1">
      <alignment horizontal="left" vertical="center" wrapText="1"/>
    </xf>
    <xf numFmtId="170" fontId="5" fillId="0" borderId="0" xfId="0" applyNumberFormat="1" applyFont="1" applyAlignment="1">
      <alignment horizontal="center" vertical="center" wrapText="1"/>
    </xf>
    <xf numFmtId="170" fontId="5" fillId="0" borderId="0" xfId="0" applyNumberFormat="1" applyFont="1" applyAlignment="1">
      <alignment horizontal="center" vertical="center"/>
    </xf>
    <xf numFmtId="0" fontId="6" fillId="0" borderId="14" xfId="0" applyFont="1" applyBorder="1" applyAlignment="1">
      <alignment horizontal="left" vertical="center" wrapText="1"/>
    </xf>
    <xf numFmtId="0" fontId="5" fillId="0" borderId="0" xfId="0" applyFont="1" applyAlignment="1">
      <alignment horizontal="left" vertical="center" wrapText="1"/>
    </xf>
    <xf numFmtId="0" fontId="5" fillId="0" borderId="3" xfId="246" applyFont="1" applyBorder="1" applyAlignment="1">
      <alignment horizontal="left" vertical="center" wrapText="1"/>
    </xf>
    <xf numFmtId="0" fontId="7" fillId="0" borderId="0" xfId="0" applyFont="1" applyAlignment="1">
      <alignment vertical="center"/>
    </xf>
    <xf numFmtId="0" fontId="6" fillId="0" borderId="0" xfId="246" applyFont="1" applyAlignment="1">
      <alignment vertical="center" wrapText="1"/>
    </xf>
    <xf numFmtId="0" fontId="11" fillId="0" borderId="3" xfId="0" applyFont="1" applyBorder="1" applyAlignment="1">
      <alignment horizontal="center" vertical="center" wrapText="1" shrinkToFit="1"/>
    </xf>
    <xf numFmtId="0" fontId="11" fillId="0" borderId="14" xfId="0" applyFont="1" applyBorder="1" applyAlignment="1">
      <alignment horizontal="center" vertical="center" wrapText="1" shrinkToFit="1"/>
    </xf>
    <xf numFmtId="170" fontId="6" fillId="0" borderId="0" xfId="246" applyNumberFormat="1" applyFont="1" applyAlignment="1">
      <alignment horizontal="center" vertical="center" wrapText="1"/>
    </xf>
    <xf numFmtId="170" fontId="6" fillId="0" borderId="0" xfId="246" applyNumberFormat="1" applyFont="1" applyAlignment="1">
      <alignment horizontal="right" vertical="center" wrapText="1"/>
    </xf>
    <xf numFmtId="0" fontId="6" fillId="0" borderId="0" xfId="246" applyFont="1" applyAlignment="1">
      <alignment horizontal="left" vertical="center" wrapText="1"/>
    </xf>
    <xf numFmtId="0" fontId="6" fillId="0" borderId="0" xfId="0" applyFont="1" applyAlignment="1">
      <alignment horizontal="center"/>
    </xf>
    <xf numFmtId="0" fontId="6" fillId="0" borderId="14" xfId="0" applyFont="1" applyBorder="1" applyAlignment="1">
      <alignment vertical="center"/>
    </xf>
    <xf numFmtId="0" fontId="6" fillId="0" borderId="3" xfId="0" applyFont="1" applyBorder="1" applyAlignment="1" applyProtection="1">
      <alignment vertical="center" wrapText="1"/>
      <protection locked="0"/>
    </xf>
    <xf numFmtId="0" fontId="13" fillId="0" borderId="0" xfId="0" applyFont="1" applyAlignment="1">
      <alignment horizontal="right" vertical="center"/>
    </xf>
    <xf numFmtId="0" fontId="16" fillId="0" borderId="0" xfId="0" applyFont="1" applyAlignment="1">
      <alignment vertical="center"/>
    </xf>
    <xf numFmtId="0" fontId="16" fillId="0" borderId="0" xfId="0" applyFont="1"/>
    <xf numFmtId="0" fontId="16" fillId="0" borderId="0" xfId="0" applyFont="1" applyAlignment="1">
      <alignment horizontal="center" vertical="center"/>
    </xf>
    <xf numFmtId="0" fontId="6" fillId="0" borderId="3" xfId="182" applyFont="1" applyFill="1" applyBorder="1" applyAlignment="1">
      <alignment horizontal="left" vertical="center" wrapText="1"/>
      <protection locked="0"/>
    </xf>
    <xf numFmtId="0" fontId="5" fillId="0" borderId="3" xfId="0" applyFont="1" applyBorder="1" applyAlignment="1" applyProtection="1">
      <alignment horizontal="left" vertical="center" wrapText="1"/>
      <protection locked="0"/>
    </xf>
    <xf numFmtId="0" fontId="6" fillId="0" borderId="3" xfId="0" applyFont="1" applyBorder="1" applyAlignment="1" applyProtection="1">
      <alignment horizontal="left" vertical="center" wrapText="1"/>
      <protection locked="0"/>
    </xf>
    <xf numFmtId="0" fontId="6" fillId="0" borderId="3" xfId="182" applyFont="1" applyFill="1" applyBorder="1" applyAlignment="1">
      <alignment vertical="center" wrapText="1"/>
      <protection locked="0"/>
    </xf>
    <xf numFmtId="0" fontId="5" fillId="0" borderId="3" xfId="182" applyFont="1" applyFill="1" applyBorder="1" applyAlignment="1">
      <alignment vertical="center" wrapText="1"/>
      <protection locked="0"/>
    </xf>
    <xf numFmtId="0" fontId="5" fillId="0" borderId="3" xfId="0" applyFont="1" applyBorder="1" applyAlignment="1" applyProtection="1">
      <alignment vertical="center" wrapText="1"/>
      <protection locked="0"/>
    </xf>
    <xf numFmtId="0" fontId="5" fillId="0" borderId="3" xfId="238" applyFont="1" applyBorder="1" applyAlignment="1">
      <alignment horizontal="left" vertical="center" wrapText="1"/>
    </xf>
    <xf numFmtId="0" fontId="6" fillId="0" borderId="3" xfId="238" applyFont="1" applyBorder="1" applyAlignment="1">
      <alignment horizontal="left" vertical="center" wrapText="1"/>
    </xf>
    <xf numFmtId="0" fontId="6" fillId="0" borderId="3" xfId="238" applyFont="1" applyBorder="1" applyAlignment="1">
      <alignment horizontal="center" vertical="center" wrapText="1"/>
    </xf>
    <xf numFmtId="0" fontId="11" fillId="0" borderId="3" xfId="0" applyFont="1" applyBorder="1" applyAlignment="1">
      <alignment horizontal="left" vertical="center" wrapText="1" shrinkToFit="1"/>
    </xf>
    <xf numFmtId="0" fontId="5" fillId="0" borderId="0" xfId="0" applyFont="1" applyAlignment="1">
      <alignment vertical="center" wrapText="1"/>
    </xf>
    <xf numFmtId="169" fontId="6" fillId="0" borderId="0" xfId="0" applyNumberFormat="1" applyFont="1" applyAlignment="1">
      <alignment horizontal="center" vertical="center" wrapText="1"/>
    </xf>
    <xf numFmtId="3" fontId="6" fillId="0" borderId="3" xfId="0" applyNumberFormat="1" applyFont="1" applyBorder="1" applyAlignment="1">
      <alignment horizontal="center" vertical="center" wrapText="1"/>
    </xf>
    <xf numFmtId="3" fontId="11" fillId="0" borderId="3" xfId="0" applyNumberFormat="1" applyFont="1" applyBorder="1" applyAlignment="1">
      <alignment horizontal="center" vertical="center" wrapText="1" shrinkToFit="1"/>
    </xf>
    <xf numFmtId="49" fontId="6" fillId="0" borderId="3" xfId="238" applyNumberFormat="1" applyFont="1" applyBorder="1" applyAlignment="1">
      <alignment horizontal="left" vertical="center" wrapText="1"/>
    </xf>
    <xf numFmtId="170" fontId="6" fillId="0" borderId="3" xfId="238" applyNumberFormat="1" applyFont="1" applyBorder="1" applyAlignment="1">
      <alignment horizontal="center" vertical="center" wrapText="1"/>
    </xf>
    <xf numFmtId="173" fontId="6" fillId="0" borderId="3" xfId="0" applyNumberFormat="1" applyFont="1" applyBorder="1" applyAlignment="1">
      <alignment horizontal="center" vertical="center" wrapText="1"/>
    </xf>
    <xf numFmtId="179" fontId="6" fillId="29" borderId="3" xfId="0" applyNumberFormat="1" applyFont="1" applyFill="1" applyBorder="1" applyAlignment="1">
      <alignment horizontal="center" vertical="center" wrapText="1"/>
    </xf>
    <xf numFmtId="169" fontId="6" fillId="29" borderId="3" xfId="0" applyNumberFormat="1" applyFont="1" applyFill="1" applyBorder="1" applyAlignment="1">
      <alignment horizontal="center" vertical="center" wrapText="1"/>
    </xf>
    <xf numFmtId="169" fontId="6" fillId="0" borderId="3" xfId="0" applyNumberFormat="1" applyFont="1" applyBorder="1" applyAlignment="1">
      <alignment horizontal="center" vertical="center" wrapText="1"/>
    </xf>
    <xf numFmtId="0" fontId="13" fillId="0" borderId="0" xfId="0" applyFont="1" applyAlignment="1">
      <alignment horizontal="center" vertical="center"/>
    </xf>
    <xf numFmtId="0" fontId="11" fillId="0" borderId="3" xfId="0" applyFont="1" applyBorder="1" applyAlignment="1">
      <alignment horizontal="center" vertical="center"/>
    </xf>
    <xf numFmtId="0" fontId="11" fillId="0" borderId="3" xfId="0" applyFont="1" applyBorder="1" applyAlignment="1">
      <alignment horizontal="left" vertical="center" wrapText="1"/>
    </xf>
    <xf numFmtId="0" fontId="6" fillId="0" borderId="0" xfId="0" applyFont="1" applyAlignment="1">
      <alignment wrapText="1"/>
    </xf>
    <xf numFmtId="0" fontId="13" fillId="0" borderId="0" xfId="0" applyFont="1" applyAlignment="1">
      <alignment vertical="top" wrapText="1"/>
    </xf>
    <xf numFmtId="0" fontId="71" fillId="0" borderId="3" xfId="246" applyFont="1" applyBorder="1" applyAlignment="1">
      <alignment horizontal="center" vertical="center" wrapText="1"/>
    </xf>
    <xf numFmtId="0" fontId="71" fillId="0" borderId="3" xfId="0" applyFont="1" applyBorder="1" applyAlignment="1">
      <alignment horizontal="center" vertical="center" wrapText="1" shrinkToFit="1"/>
    </xf>
    <xf numFmtId="0" fontId="71" fillId="0" borderId="3" xfId="0" applyFont="1" applyBorder="1" applyAlignment="1">
      <alignment horizontal="center" vertical="center" wrapText="1"/>
    </xf>
    <xf numFmtId="0" fontId="0" fillId="0" borderId="0" xfId="0" applyAlignment="1">
      <alignment vertical="center" wrapText="1"/>
    </xf>
    <xf numFmtId="0" fontId="6" fillId="0" borderId="15" xfId="0" applyFont="1" applyBorder="1" applyAlignment="1">
      <alignment vertical="center" wrapText="1"/>
    </xf>
    <xf numFmtId="0" fontId="6" fillId="0" borderId="16" xfId="0" applyFont="1" applyBorder="1" applyAlignment="1">
      <alignment vertical="center"/>
    </xf>
    <xf numFmtId="0" fontId="71" fillId="0" borderId="3" xfId="0" applyFont="1" applyBorder="1" applyAlignment="1">
      <alignment horizontal="center" vertical="center"/>
    </xf>
    <xf numFmtId="0" fontId="72" fillId="0" borderId="3" xfId="0" applyFont="1" applyBorder="1" applyAlignment="1">
      <alignment horizontal="left" vertical="center" wrapText="1"/>
    </xf>
    <xf numFmtId="0" fontId="13" fillId="0" borderId="3" xfId="0" applyFont="1" applyBorder="1" applyAlignment="1">
      <alignment horizontal="center" vertical="center" wrapText="1"/>
    </xf>
    <xf numFmtId="0" fontId="71" fillId="0" borderId="3" xfId="0" quotePrefix="1" applyFont="1" applyBorder="1" applyAlignment="1">
      <alignment horizontal="center" vertical="center"/>
    </xf>
    <xf numFmtId="0" fontId="71" fillId="0" borderId="3" xfId="0" quotePrefix="1" applyFont="1" applyBorder="1" applyAlignment="1">
      <alignment horizontal="center" vertical="center" wrapText="1"/>
    </xf>
    <xf numFmtId="0" fontId="73" fillId="0" borderId="3" xfId="246" applyFont="1" applyBorder="1" applyAlignment="1">
      <alignment horizontal="center" vertical="center" wrapText="1"/>
    </xf>
    <xf numFmtId="0" fontId="11" fillId="0" borderId="3" xfId="246" applyFont="1" applyBorder="1" applyAlignment="1">
      <alignment horizontal="left" vertical="center" wrapText="1"/>
    </xf>
    <xf numFmtId="0" fontId="13" fillId="0" borderId="3" xfId="0" applyFont="1" applyBorder="1" applyAlignment="1">
      <alignment horizontal="center" vertical="center" wrapText="1" shrinkToFit="1"/>
    </xf>
    <xf numFmtId="0" fontId="13" fillId="0" borderId="14" xfId="0" applyFont="1" applyBorder="1" applyAlignment="1">
      <alignment horizontal="center" vertical="center" wrapText="1" shrinkToFit="1"/>
    </xf>
    <xf numFmtId="0" fontId="74" fillId="0" borderId="0" xfId="0" applyFont="1" applyAlignment="1">
      <alignment horizontal="center" vertical="center"/>
    </xf>
    <xf numFmtId="0" fontId="71" fillId="0" borderId="0" xfId="0" applyFont="1" applyAlignment="1">
      <alignment horizontal="left" vertical="justify"/>
    </xf>
    <xf numFmtId="0" fontId="75" fillId="0" borderId="0" xfId="0" applyFont="1" applyAlignment="1">
      <alignment horizontal="center" vertical="justify"/>
    </xf>
    <xf numFmtId="0" fontId="71" fillId="0" borderId="0" xfId="0" applyFont="1" applyAlignment="1">
      <alignment vertical="justify"/>
    </xf>
    <xf numFmtId="0" fontId="71" fillId="0" borderId="3" xfId="238" applyFont="1" applyBorder="1" applyAlignment="1">
      <alignment horizontal="center" vertical="center"/>
    </xf>
    <xf numFmtId="49" fontId="11" fillId="0" borderId="3" xfId="238" applyNumberFormat="1" applyFont="1" applyBorder="1" applyAlignment="1">
      <alignment horizontal="left" vertical="center" wrapText="1"/>
    </xf>
    <xf numFmtId="49" fontId="6" fillId="0" borderId="0" xfId="0" applyNumberFormat="1" applyFont="1" applyAlignment="1">
      <alignment horizontal="left" vertical="center" wrapText="1"/>
    </xf>
    <xf numFmtId="49" fontId="6" fillId="0" borderId="0" xfId="0" applyNumberFormat="1" applyFont="1" applyAlignment="1">
      <alignment horizontal="center" vertical="center" wrapText="1"/>
    </xf>
    <xf numFmtId="179" fontId="6" fillId="0" borderId="0" xfId="0" applyNumberFormat="1" applyFont="1" applyAlignment="1">
      <alignment horizontal="center" vertical="center" wrapText="1"/>
    </xf>
    <xf numFmtId="0" fontId="5" fillId="0" borderId="0" xfId="238" applyFont="1" applyAlignment="1">
      <alignment vertical="center" wrapText="1"/>
    </xf>
    <xf numFmtId="0" fontId="71" fillId="0" borderId="0" xfId="0" applyFont="1" applyAlignment="1">
      <alignment horizontal="center" vertical="center"/>
    </xf>
    <xf numFmtId="178" fontId="6" fillId="0" borderId="0" xfId="0" applyNumberFormat="1" applyFont="1" applyAlignment="1">
      <alignment horizontal="center" vertical="center" wrapText="1"/>
    </xf>
    <xf numFmtId="179" fontId="5" fillId="0" borderId="0" xfId="0" applyNumberFormat="1" applyFont="1" applyAlignment="1">
      <alignment horizontal="center" vertical="center" wrapText="1"/>
    </xf>
    <xf numFmtId="178" fontId="5" fillId="0" borderId="0" xfId="0" applyNumberFormat="1" applyFont="1" applyAlignment="1">
      <alignment horizontal="center" vertical="center" wrapText="1"/>
    </xf>
    <xf numFmtId="0" fontId="71" fillId="29" borderId="3" xfId="0" quotePrefix="1" applyFont="1" applyFill="1" applyBorder="1" applyAlignment="1">
      <alignment horizontal="center" vertical="center"/>
    </xf>
    <xf numFmtId="0" fontId="74" fillId="0" borderId="3" xfId="0" quotePrefix="1" applyFont="1" applyBorder="1" applyAlignment="1">
      <alignment horizontal="center" vertical="center"/>
    </xf>
    <xf numFmtId="0" fontId="13" fillId="0" borderId="3" xfId="0" quotePrefix="1" applyFont="1" applyBorder="1" applyAlignment="1">
      <alignment horizontal="center" vertical="center"/>
    </xf>
    <xf numFmtId="0" fontId="76" fillId="0" borderId="0" xfId="0" applyFont="1" applyAlignment="1">
      <alignment vertical="center"/>
    </xf>
    <xf numFmtId="0" fontId="76" fillId="0" borderId="0" xfId="0" applyFont="1" applyAlignment="1">
      <alignment horizontal="left" vertical="center"/>
    </xf>
    <xf numFmtId="0" fontId="73" fillId="0" borderId="3" xfId="238" applyFont="1" applyBorder="1" applyAlignment="1">
      <alignment horizontal="left" vertical="center"/>
    </xf>
    <xf numFmtId="0" fontId="77" fillId="0" borderId="0" xfId="0" applyFont="1" applyAlignment="1">
      <alignment horizontal="left" vertical="center"/>
    </xf>
    <xf numFmtId="0" fontId="77" fillId="0" borderId="0" xfId="0" applyFont="1" applyAlignment="1">
      <alignment vertical="center"/>
    </xf>
    <xf numFmtId="0" fontId="74" fillId="0" borderId="3" xfId="0" applyFont="1" applyBorder="1" applyAlignment="1">
      <alignment horizontal="left" vertical="center" wrapText="1"/>
    </xf>
    <xf numFmtId="0" fontId="11" fillId="0" borderId="0" xfId="0" applyFont="1" applyAlignment="1">
      <alignment horizontal="left" vertical="center" wrapText="1"/>
    </xf>
    <xf numFmtId="0" fontId="6" fillId="0" borderId="3" xfId="238" applyFont="1" applyBorder="1" applyAlignment="1">
      <alignment horizontal="left" vertical="top" wrapText="1"/>
    </xf>
    <xf numFmtId="0" fontId="6" fillId="0" borderId="3" xfId="238" applyFont="1" applyBorder="1" applyAlignment="1">
      <alignment horizontal="left" vertical="justify" wrapText="1"/>
    </xf>
    <xf numFmtId="0" fontId="5" fillId="29" borderId="3" xfId="246" applyFont="1" applyFill="1" applyBorder="1" applyAlignment="1">
      <alignment horizontal="left" vertical="center" wrapText="1"/>
    </xf>
    <xf numFmtId="0" fontId="5" fillId="29" borderId="3" xfId="0" applyFont="1" applyFill="1" applyBorder="1" applyAlignment="1">
      <alignment horizontal="left" vertical="center" wrapText="1"/>
    </xf>
    <xf numFmtId="0" fontId="8" fillId="29" borderId="3" xfId="0" applyFont="1" applyFill="1" applyBorder="1" applyAlignment="1">
      <alignment horizontal="left" vertical="center" wrapText="1"/>
    </xf>
    <xf numFmtId="0" fontId="5" fillId="29" borderId="3" xfId="0" applyFont="1" applyFill="1" applyBorder="1" applyAlignment="1">
      <alignment horizontal="left" vertical="center" wrapText="1" shrinkToFit="1"/>
    </xf>
    <xf numFmtId="0" fontId="5" fillId="27" borderId="3" xfId="0" applyFont="1" applyFill="1" applyBorder="1" applyAlignment="1">
      <alignment horizontal="left" vertical="center" wrapText="1"/>
    </xf>
    <xf numFmtId="0" fontId="71" fillId="27" borderId="3" xfId="0" quotePrefix="1" applyFont="1" applyFill="1" applyBorder="1" applyAlignment="1">
      <alignment horizontal="center" vertical="center"/>
    </xf>
    <xf numFmtId="0" fontId="73" fillId="29" borderId="3" xfId="0" applyFont="1" applyFill="1" applyBorder="1" applyAlignment="1">
      <alignment horizontal="center" vertical="center" wrapText="1"/>
    </xf>
    <xf numFmtId="0" fontId="80" fillId="0" borderId="14" xfId="0" applyFont="1" applyBorder="1" applyAlignment="1">
      <alignment horizontal="left" vertical="center"/>
    </xf>
    <xf numFmtId="0" fontId="6" fillId="29" borderId="3" xfId="0" applyFont="1" applyFill="1" applyBorder="1" applyAlignment="1">
      <alignment horizontal="left" vertical="center" wrapText="1"/>
    </xf>
    <xf numFmtId="0" fontId="13" fillId="0" borderId="3" xfId="0" applyFont="1" applyBorder="1" applyAlignment="1">
      <alignment horizontal="center" vertical="center"/>
    </xf>
    <xf numFmtId="0" fontId="71" fillId="0" borderId="3" xfId="246" applyFont="1" applyBorder="1" applyAlignment="1">
      <alignment horizontal="center" vertical="center"/>
    </xf>
    <xf numFmtId="0" fontId="71" fillId="0" borderId="3" xfId="0" applyFont="1" applyBorder="1" applyAlignment="1">
      <alignment vertical="center"/>
    </xf>
    <xf numFmtId="0" fontId="11" fillId="0" borderId="0" xfId="0" applyFont="1" applyAlignment="1">
      <alignment horizontal="right" vertical="center"/>
    </xf>
    <xf numFmtId="0" fontId="11" fillId="0" borderId="0" xfId="0" applyFont="1" applyAlignment="1">
      <alignment horizontal="right" vertical="center" wrapText="1"/>
    </xf>
    <xf numFmtId="0" fontId="6" fillId="0" borderId="0" xfId="0" quotePrefix="1" applyFont="1" applyAlignment="1">
      <alignment horizontal="center"/>
    </xf>
    <xf numFmtId="170" fontId="7" fillId="0" borderId="0" xfId="0" applyNumberFormat="1" applyFont="1"/>
    <xf numFmtId="0" fontId="11" fillId="0" borderId="3" xfId="0" applyFont="1" applyBorder="1" applyAlignment="1" applyProtection="1">
      <alignment horizontal="left" vertical="center" wrapText="1"/>
      <protection locked="0"/>
    </xf>
    <xf numFmtId="0" fontId="75" fillId="0" borderId="3" xfId="0" applyFont="1" applyBorder="1" applyAlignment="1">
      <alignment horizontal="left" vertical="center" wrapText="1"/>
    </xf>
    <xf numFmtId="0" fontId="11" fillId="33" borderId="3" xfId="0" applyFont="1" applyFill="1" applyBorder="1" applyAlignment="1">
      <alignment horizontal="left" vertical="center" wrapText="1"/>
    </xf>
    <xf numFmtId="0" fontId="76" fillId="0" borderId="3" xfId="246" applyFont="1" applyBorder="1" applyAlignment="1">
      <alignment horizontal="center" vertical="center" wrapText="1"/>
    </xf>
    <xf numFmtId="170" fontId="6" fillId="33" borderId="3" xfId="238" applyNumberFormat="1" applyFont="1" applyFill="1" applyBorder="1" applyAlignment="1">
      <alignment horizontal="center" vertical="center" wrapText="1"/>
    </xf>
    <xf numFmtId="0" fontId="76" fillId="33" borderId="3" xfId="0" quotePrefix="1" applyFont="1" applyFill="1" applyBorder="1" applyAlignment="1">
      <alignment horizontal="center" vertical="center"/>
    </xf>
    <xf numFmtId="0" fontId="76" fillId="0" borderId="3" xfId="0" applyFont="1" applyBorder="1" applyAlignment="1">
      <alignment horizontal="center" vertical="center" wrapText="1"/>
    </xf>
    <xf numFmtId="4" fontId="6" fillId="0" borderId="0" xfId="0" applyNumberFormat="1" applyFont="1" applyAlignment="1">
      <alignment horizontal="right" vertical="center"/>
    </xf>
    <xf numFmtId="4" fontId="6" fillId="0" borderId="3" xfId="0" applyNumberFormat="1" applyFont="1" applyBorder="1" applyAlignment="1">
      <alignment horizontal="center" vertical="center" wrapText="1" shrinkToFit="1"/>
    </xf>
    <xf numFmtId="4" fontId="6" fillId="30" borderId="0" xfId="0" applyNumberFormat="1" applyFont="1" applyFill="1"/>
    <xf numFmtId="4" fontId="6" fillId="0" borderId="0" xfId="0" applyNumberFormat="1" applyFont="1"/>
    <xf numFmtId="4" fontId="76" fillId="30" borderId="0" xfId="0" applyNumberFormat="1" applyFont="1" applyFill="1"/>
    <xf numFmtId="4" fontId="6" fillId="0" borderId="0" xfId="0" applyNumberFormat="1" applyFont="1" applyAlignment="1">
      <alignment vertical="center"/>
    </xf>
    <xf numFmtId="4" fontId="6" fillId="34" borderId="0" xfId="0" applyNumberFormat="1" applyFont="1" applyFill="1" applyAlignment="1">
      <alignment vertical="center"/>
    </xf>
    <xf numFmtId="49" fontId="71" fillId="0" borderId="3" xfId="0" applyNumberFormat="1" applyFont="1" applyBorder="1" applyAlignment="1">
      <alignment horizontal="center" vertical="center" wrapText="1"/>
    </xf>
    <xf numFmtId="49" fontId="76" fillId="0" borderId="3" xfId="0" applyNumberFormat="1" applyFont="1" applyBorder="1" applyAlignment="1">
      <alignment horizontal="center" vertical="center" wrapText="1"/>
    </xf>
    <xf numFmtId="4" fontId="76" fillId="0" borderId="0" xfId="0" applyNumberFormat="1" applyFont="1" applyAlignment="1">
      <alignment horizontal="center" vertical="top" wrapText="1"/>
    </xf>
    <xf numFmtId="4" fontId="6" fillId="0" borderId="0" xfId="0" applyNumberFormat="1" applyFont="1" applyAlignment="1">
      <alignment horizontal="center"/>
    </xf>
    <xf numFmtId="170" fontId="6" fillId="0" borderId="3" xfId="0" applyNumberFormat="1" applyFont="1" applyBorder="1" applyAlignment="1">
      <alignment horizontal="center" vertical="center" wrapText="1"/>
    </xf>
    <xf numFmtId="0" fontId="0" fillId="0" borderId="0" xfId="0" applyAlignment="1">
      <alignment wrapText="1"/>
    </xf>
    <xf numFmtId="4" fontId="0" fillId="0" borderId="0" xfId="0" applyNumberFormat="1"/>
    <xf numFmtId="0" fontId="71" fillId="0" borderId="3" xfId="0" applyFont="1" applyBorder="1" applyAlignment="1">
      <alignment horizontal="left" vertical="center" wrapText="1"/>
    </xf>
    <xf numFmtId="3" fontId="5" fillId="0" borderId="3" xfId="0" applyNumberFormat="1" applyFont="1" applyBorder="1" applyAlignment="1">
      <alignment horizontal="center" vertical="center" wrapText="1"/>
    </xf>
    <xf numFmtId="49" fontId="5" fillId="0" borderId="0" xfId="0" applyNumberFormat="1" applyFont="1" applyAlignment="1">
      <alignment horizontal="center" vertical="center" wrapText="1"/>
    </xf>
    <xf numFmtId="0" fontId="84" fillId="0" borderId="0" xfId="0" applyFont="1"/>
    <xf numFmtId="0" fontId="73" fillId="0" borderId="3" xfId="0" applyFont="1" applyBorder="1" applyAlignment="1">
      <alignment horizontal="center" vertical="center" wrapText="1"/>
    </xf>
    <xf numFmtId="49" fontId="84" fillId="0" borderId="0" xfId="0" applyNumberFormat="1" applyFont="1"/>
    <xf numFmtId="4" fontId="16" fillId="0" borderId="0" xfId="0" applyNumberFormat="1" applyFont="1"/>
    <xf numFmtId="3" fontId="71" fillId="0" borderId="3" xfId="0" applyNumberFormat="1" applyFont="1" applyBorder="1" applyAlignment="1">
      <alignment horizontal="left" vertical="center" wrapText="1"/>
    </xf>
    <xf numFmtId="3" fontId="11" fillId="0" borderId="3" xfId="0" applyNumberFormat="1" applyFont="1" applyBorder="1" applyAlignment="1">
      <alignment horizontal="left" vertical="center" wrapText="1"/>
    </xf>
    <xf numFmtId="173" fontId="6" fillId="0" borderId="0" xfId="0" applyNumberFormat="1" applyFont="1" applyAlignment="1">
      <alignment vertical="center"/>
    </xf>
    <xf numFmtId="181" fontId="6" fillId="0" borderId="3" xfId="0" applyNumberFormat="1" applyFont="1" applyBorder="1" applyAlignment="1">
      <alignment horizontal="center" vertical="center" wrapText="1"/>
    </xf>
    <xf numFmtId="181" fontId="6" fillId="29" borderId="3" xfId="0" applyNumberFormat="1" applyFont="1" applyFill="1" applyBorder="1" applyAlignment="1">
      <alignment horizontal="center" vertical="center" wrapText="1"/>
    </xf>
    <xf numFmtId="178" fontId="6" fillId="29" borderId="3" xfId="0" applyNumberFormat="1" applyFont="1" applyFill="1" applyBorder="1" applyAlignment="1">
      <alignment horizontal="center" vertical="center" wrapText="1"/>
    </xf>
    <xf numFmtId="49" fontId="11" fillId="0" borderId="3" xfId="0" applyNumberFormat="1" applyFont="1" applyBorder="1" applyAlignment="1">
      <alignment horizontal="left" vertical="top" wrapText="1"/>
    </xf>
    <xf numFmtId="170" fontId="5" fillId="29" borderId="3" xfId="0" applyNumberFormat="1" applyFont="1" applyFill="1" applyBorder="1" applyAlignment="1">
      <alignment horizontal="center" vertical="center" wrapText="1"/>
    </xf>
    <xf numFmtId="178" fontId="6" fillId="0" borderId="3" xfId="0" applyNumberFormat="1" applyFont="1" applyBorder="1" applyAlignment="1">
      <alignment horizontal="center" vertical="center" wrapText="1"/>
    </xf>
    <xf numFmtId="170" fontId="81" fillId="29" borderId="3" xfId="0" applyNumberFormat="1" applyFont="1" applyFill="1" applyBorder="1" applyAlignment="1">
      <alignment horizontal="center" vertical="center" wrapText="1"/>
    </xf>
    <xf numFmtId="170" fontId="11" fillId="33" borderId="3" xfId="0" applyNumberFormat="1" applyFont="1" applyFill="1" applyBorder="1" applyAlignment="1">
      <alignment horizontal="center" vertical="center" wrapText="1"/>
    </xf>
    <xf numFmtId="178" fontId="81" fillId="29" borderId="3" xfId="0" applyNumberFormat="1" applyFont="1" applyFill="1" applyBorder="1" applyAlignment="1">
      <alignment horizontal="center" vertical="center" wrapText="1"/>
    </xf>
    <xf numFmtId="178" fontId="5" fillId="29" borderId="3" xfId="0" applyNumberFormat="1" applyFont="1" applyFill="1" applyBorder="1" applyAlignment="1">
      <alignment horizontal="center" vertical="center" wrapText="1"/>
    </xf>
    <xf numFmtId="178" fontId="11" fillId="0" borderId="3" xfId="0" applyNumberFormat="1" applyFont="1" applyBorder="1" applyAlignment="1">
      <alignment horizontal="center" vertical="center" wrapText="1"/>
    </xf>
    <xf numFmtId="178" fontId="11" fillId="29" borderId="3" xfId="0" applyNumberFormat="1" applyFont="1" applyFill="1" applyBorder="1" applyAlignment="1">
      <alignment horizontal="center" vertical="center" wrapText="1"/>
    </xf>
    <xf numFmtId="178" fontId="8" fillId="29" borderId="3" xfId="0" applyNumberFormat="1" applyFont="1" applyFill="1" applyBorder="1" applyAlignment="1">
      <alignment horizontal="center" vertical="center" wrapText="1"/>
    </xf>
    <xf numFmtId="178" fontId="79" fillId="29" borderId="3" xfId="0" applyNumberFormat="1" applyFont="1" applyFill="1" applyBorder="1" applyAlignment="1">
      <alignment horizontal="center" vertical="center" wrapText="1"/>
    </xf>
    <xf numFmtId="178" fontId="72" fillId="29" borderId="3" xfId="0" applyNumberFormat="1" applyFont="1" applyFill="1" applyBorder="1" applyAlignment="1">
      <alignment horizontal="center" vertical="center" wrapText="1"/>
    </xf>
    <xf numFmtId="178" fontId="7" fillId="29" borderId="3" xfId="0" applyNumberFormat="1" applyFont="1" applyFill="1" applyBorder="1" applyAlignment="1">
      <alignment horizontal="center" vertical="center" wrapText="1"/>
    </xf>
    <xf numFmtId="181" fontId="5" fillId="27" borderId="3" xfId="0" applyNumberFormat="1" applyFont="1" applyFill="1" applyBorder="1" applyAlignment="1">
      <alignment horizontal="center" vertical="center" wrapText="1"/>
    </xf>
    <xf numFmtId="170" fontId="6" fillId="29" borderId="3" xfId="0" applyNumberFormat="1" applyFont="1" applyFill="1" applyBorder="1" applyAlignment="1">
      <alignment horizontal="center" vertical="center" wrapText="1"/>
    </xf>
    <xf numFmtId="181" fontId="11" fillId="0" borderId="3" xfId="0" applyNumberFormat="1" applyFont="1" applyBorder="1" applyAlignment="1">
      <alignment horizontal="center" vertical="center" wrapText="1"/>
    </xf>
    <xf numFmtId="181" fontId="11" fillId="29" borderId="3" xfId="0" applyNumberFormat="1" applyFont="1" applyFill="1" applyBorder="1" applyAlignment="1">
      <alignment horizontal="center" vertical="center" wrapText="1"/>
    </xf>
    <xf numFmtId="181" fontId="5" fillId="29" borderId="3" xfId="0" applyNumberFormat="1" applyFont="1" applyFill="1" applyBorder="1" applyAlignment="1">
      <alignment horizontal="center" vertical="center" wrapText="1"/>
    </xf>
    <xf numFmtId="181" fontId="81" fillId="29" borderId="3" xfId="0" applyNumberFormat="1" applyFont="1" applyFill="1" applyBorder="1" applyAlignment="1">
      <alignment horizontal="center" vertical="center" wrapText="1"/>
    </xf>
    <xf numFmtId="182" fontId="72" fillId="0" borderId="3" xfId="0" applyNumberFormat="1" applyFont="1" applyBorder="1" applyAlignment="1">
      <alignment horizontal="right" vertical="center"/>
    </xf>
    <xf numFmtId="182" fontId="72" fillId="31" borderId="3" xfId="0" applyNumberFormat="1" applyFont="1" applyFill="1" applyBorder="1" applyAlignment="1">
      <alignment horizontal="right" vertical="center"/>
    </xf>
    <xf numFmtId="182" fontId="6" fillId="0" borderId="3" xfId="0" applyNumberFormat="1" applyFont="1" applyBorder="1" applyAlignment="1" applyProtection="1">
      <alignment horizontal="right" vertical="center"/>
      <protection locked="0"/>
    </xf>
    <xf numFmtId="170" fontId="6" fillId="29" borderId="3" xfId="0" applyNumberFormat="1" applyFont="1" applyFill="1" applyBorder="1" applyAlignment="1">
      <alignment vertical="center" wrapText="1"/>
    </xf>
    <xf numFmtId="170" fontId="6" fillId="0" borderId="3" xfId="0" applyNumberFormat="1" applyFont="1" applyBorder="1" applyAlignment="1">
      <alignment vertical="center" wrapText="1"/>
    </xf>
    <xf numFmtId="181" fontId="8" fillId="29" borderId="3" xfId="0" applyNumberFormat="1" applyFont="1" applyFill="1" applyBorder="1" applyAlignment="1">
      <alignment horizontal="center" vertical="center" wrapText="1"/>
    </xf>
    <xf numFmtId="181" fontId="6" fillId="33" borderId="3" xfId="0" applyNumberFormat="1" applyFont="1" applyFill="1" applyBorder="1" applyAlignment="1">
      <alignment horizontal="center" vertical="center" wrapText="1"/>
    </xf>
    <xf numFmtId="178" fontId="6" fillId="33" borderId="3" xfId="0" applyNumberFormat="1" applyFont="1" applyFill="1" applyBorder="1" applyAlignment="1">
      <alignment horizontal="center" vertical="center" wrapText="1"/>
    </xf>
    <xf numFmtId="170" fontId="81" fillId="33" borderId="3" xfId="0" applyNumberFormat="1" applyFont="1" applyFill="1" applyBorder="1" applyAlignment="1">
      <alignment horizontal="center" vertical="center" wrapText="1"/>
    </xf>
    <xf numFmtId="0" fontId="13" fillId="0" borderId="3" xfId="0" applyFont="1" applyBorder="1" applyAlignment="1">
      <alignment horizontal="left" vertical="center" wrapText="1"/>
    </xf>
    <xf numFmtId="178" fontId="10" fillId="29" borderId="3" xfId="0" applyNumberFormat="1" applyFont="1" applyFill="1" applyBorder="1" applyAlignment="1">
      <alignment horizontal="center" vertical="center" wrapText="1"/>
    </xf>
    <xf numFmtId="183" fontId="6" fillId="0" borderId="0" xfId="0" applyNumberFormat="1" applyFont="1" applyAlignment="1">
      <alignment vertical="center"/>
    </xf>
    <xf numFmtId="182" fontId="6" fillId="0" borderId="0" xfId="0" applyNumberFormat="1" applyFont="1" applyAlignment="1">
      <alignment vertical="center"/>
    </xf>
    <xf numFmtId="49" fontId="73" fillId="0" borderId="0" xfId="0" applyNumberFormat="1" applyFont="1" applyAlignment="1">
      <alignment horizontal="center" vertical="center" wrapText="1"/>
    </xf>
    <xf numFmtId="182" fontId="5" fillId="0" borderId="0" xfId="0" applyNumberFormat="1" applyFont="1" applyAlignment="1" applyProtection="1">
      <alignment horizontal="right" vertical="center"/>
      <protection locked="0"/>
    </xf>
    <xf numFmtId="182" fontId="5" fillId="0" borderId="0" xfId="0" applyNumberFormat="1" applyFont="1" applyAlignment="1">
      <alignment horizontal="right" vertical="center"/>
    </xf>
    <xf numFmtId="170" fontId="6" fillId="29" borderId="14" xfId="0" applyNumberFormat="1" applyFont="1" applyFill="1" applyBorder="1" applyAlignment="1">
      <alignment horizontal="center" vertical="center" wrapText="1"/>
    </xf>
    <xf numFmtId="170" fontId="6" fillId="29" borderId="17" xfId="0" applyNumberFormat="1" applyFont="1" applyFill="1" applyBorder="1" applyAlignment="1">
      <alignment horizontal="center" vertical="center" wrapText="1"/>
    </xf>
    <xf numFmtId="49" fontId="13" fillId="0" borderId="3" xfId="0" applyNumberFormat="1" applyFont="1" applyBorder="1" applyAlignment="1">
      <alignment horizontal="center" vertical="center" wrapText="1"/>
    </xf>
    <xf numFmtId="3" fontId="13" fillId="0" borderId="3" xfId="0" applyNumberFormat="1" applyFont="1" applyBorder="1" applyAlignment="1">
      <alignment horizontal="center" vertical="center" wrapText="1"/>
    </xf>
    <xf numFmtId="3" fontId="13" fillId="0" borderId="14" xfId="0" applyNumberFormat="1" applyFont="1" applyBorder="1" applyAlignment="1">
      <alignment horizontal="center" vertical="center" wrapText="1"/>
    </xf>
    <xf numFmtId="0" fontId="83" fillId="0" borderId="3" xfId="0" applyFont="1" applyBorder="1" applyAlignment="1">
      <alignment horizontal="left" vertical="center" wrapText="1"/>
    </xf>
    <xf numFmtId="185" fontId="6" fillId="0" borderId="3" xfId="238" applyNumberFormat="1" applyFont="1" applyBorder="1" applyAlignment="1">
      <alignment horizontal="center" vertical="center" wrapText="1"/>
    </xf>
    <xf numFmtId="186" fontId="6" fillId="0" borderId="3" xfId="0" applyNumberFormat="1" applyFont="1" applyBorder="1" applyAlignment="1">
      <alignment horizontal="center" vertical="center" wrapText="1"/>
    </xf>
    <xf numFmtId="187" fontId="5" fillId="27" borderId="3" xfId="0" applyNumberFormat="1" applyFont="1" applyFill="1" applyBorder="1" applyAlignment="1">
      <alignment horizontal="center" vertical="center" wrapText="1"/>
    </xf>
    <xf numFmtId="174" fontId="5" fillId="29" borderId="3" xfId="0" applyNumberFormat="1" applyFont="1" applyFill="1" applyBorder="1" applyAlignment="1">
      <alignment horizontal="center" vertical="center" wrapText="1"/>
    </xf>
    <xf numFmtId="181" fontId="89" fillId="27" borderId="3" xfId="0" applyNumberFormat="1" applyFont="1" applyFill="1" applyBorder="1" applyAlignment="1">
      <alignment horizontal="center" vertical="center" wrapText="1"/>
    </xf>
    <xf numFmtId="4" fontId="6" fillId="0" borderId="0" xfId="0" applyNumberFormat="1" applyFont="1" applyAlignment="1">
      <alignment horizontal="center" vertical="center"/>
    </xf>
    <xf numFmtId="170" fontId="84" fillId="0" borderId="0" xfId="0" applyNumberFormat="1" applyFont="1"/>
    <xf numFmtId="170" fontId="16" fillId="0" borderId="0" xfId="0" applyNumberFormat="1" applyFont="1"/>
    <xf numFmtId="187" fontId="11" fillId="0" borderId="3" xfId="0" applyNumberFormat="1" applyFont="1" applyBorder="1" applyAlignment="1">
      <alignment horizontal="center" vertical="center" wrapText="1"/>
    </xf>
    <xf numFmtId="174" fontId="72" fillId="29" borderId="3" xfId="0" applyNumberFormat="1" applyFont="1" applyFill="1" applyBorder="1" applyAlignment="1">
      <alignment horizontal="center" vertical="center" wrapText="1"/>
    </xf>
    <xf numFmtId="0" fontId="13" fillId="33" borderId="3" xfId="0" applyFont="1" applyFill="1" applyBorder="1" applyAlignment="1">
      <alignment horizontal="left" vertical="center" wrapText="1"/>
    </xf>
    <xf numFmtId="181" fontId="6" fillId="0" borderId="3" xfId="0" applyNumberFormat="1" applyFont="1" applyBorder="1" applyAlignment="1">
      <alignment horizontal="right" vertical="center"/>
    </xf>
    <xf numFmtId="181" fontId="72" fillId="0" borderId="3" xfId="0" applyNumberFormat="1" applyFont="1" applyBorder="1" applyAlignment="1">
      <alignment horizontal="right" vertical="center"/>
    </xf>
    <xf numFmtId="181" fontId="72" fillId="31" borderId="3" xfId="0" applyNumberFormat="1" applyFont="1" applyFill="1" applyBorder="1" applyAlignment="1">
      <alignment horizontal="right" vertical="center"/>
    </xf>
    <xf numFmtId="181" fontId="9" fillId="0" borderId="3" xfId="0" applyNumberFormat="1" applyFont="1" applyBorder="1" applyAlignment="1">
      <alignment horizontal="center" vertical="center" wrapText="1"/>
    </xf>
    <xf numFmtId="190" fontId="5" fillId="31" borderId="3" xfId="0" applyNumberFormat="1" applyFont="1" applyFill="1" applyBorder="1" applyAlignment="1">
      <alignment horizontal="right" vertical="center"/>
    </xf>
    <xf numFmtId="0" fontId="5" fillId="0" borderId="13" xfId="0" applyFont="1" applyBorder="1" applyAlignment="1">
      <alignment horizontal="left"/>
    </xf>
    <xf numFmtId="0" fontId="6" fillId="0" borderId="13" xfId="0" applyFont="1" applyBorder="1" applyAlignment="1">
      <alignment horizontal="left"/>
    </xf>
    <xf numFmtId="188" fontId="6" fillId="0" borderId="3" xfId="238" applyNumberFormat="1" applyFont="1" applyBorder="1" applyAlignment="1">
      <alignment horizontal="center" vertical="center" wrapText="1"/>
    </xf>
    <xf numFmtId="169" fontId="6" fillId="33" borderId="3" xfId="0" applyNumberFormat="1" applyFont="1" applyFill="1" applyBorder="1" applyAlignment="1">
      <alignment horizontal="center" vertical="center"/>
    </xf>
    <xf numFmtId="0" fontId="5" fillId="0" borderId="15" xfId="0" applyFont="1" applyBorder="1" applyAlignment="1">
      <alignment horizontal="left"/>
    </xf>
    <xf numFmtId="174" fontId="11" fillId="0" borderId="3" xfId="0" applyNumberFormat="1" applyFont="1" applyBorder="1" applyAlignment="1">
      <alignment horizontal="center" vertical="center" wrapText="1"/>
    </xf>
    <xf numFmtId="178" fontId="11" fillId="35" borderId="3" xfId="0" applyNumberFormat="1" applyFont="1" applyFill="1" applyBorder="1" applyAlignment="1">
      <alignment horizontal="center" vertical="center" wrapText="1"/>
    </xf>
    <xf numFmtId="173" fontId="6" fillId="35" borderId="3" xfId="0" applyNumberFormat="1" applyFont="1" applyFill="1" applyBorder="1" applyAlignment="1">
      <alignment horizontal="center" vertical="center" wrapText="1"/>
    </xf>
    <xf numFmtId="0" fontId="6" fillId="0" borderId="17" xfId="0" applyFont="1" applyBorder="1" applyAlignment="1">
      <alignment horizontal="center" vertical="center"/>
    </xf>
    <xf numFmtId="4" fontId="6" fillId="0" borderId="17" xfId="0" applyNumberFormat="1" applyFont="1" applyBorder="1" applyAlignment="1">
      <alignment horizontal="center" vertical="center"/>
    </xf>
    <xf numFmtId="0" fontId="5" fillId="31" borderId="3" xfId="0" applyFont="1" applyFill="1" applyBorder="1" applyAlignment="1">
      <alignment horizontal="left" vertical="center" wrapText="1"/>
    </xf>
    <xf numFmtId="49" fontId="73" fillId="31" borderId="3" xfId="0" applyNumberFormat="1" applyFont="1" applyFill="1" applyBorder="1" applyAlignment="1">
      <alignment horizontal="center" vertical="center" wrapText="1"/>
    </xf>
    <xf numFmtId="182" fontId="5" fillId="31" borderId="3" xfId="0" applyNumberFormat="1" applyFont="1" applyFill="1" applyBorder="1" applyAlignment="1">
      <alignment horizontal="right" vertical="center"/>
    </xf>
    <xf numFmtId="182" fontId="81" fillId="31" borderId="3" xfId="0" applyNumberFormat="1" applyFont="1" applyFill="1" applyBorder="1" applyAlignment="1">
      <alignment horizontal="right" vertical="center"/>
    </xf>
    <xf numFmtId="182" fontId="71" fillId="31" borderId="3" xfId="0" applyNumberFormat="1" applyFont="1" applyFill="1" applyBorder="1" applyAlignment="1">
      <alignment horizontal="right" vertical="center"/>
    </xf>
    <xf numFmtId="0" fontId="6" fillId="0" borderId="3" xfId="0" applyFont="1" applyBorder="1" applyAlignment="1">
      <alignment horizontal="left" vertical="center"/>
    </xf>
    <xf numFmtId="182" fontId="11" fillId="0" borderId="3" xfId="0" applyNumberFormat="1" applyFont="1" applyBorder="1" applyAlignment="1" applyProtection="1">
      <alignment horizontal="right" vertical="center"/>
      <protection locked="0"/>
    </xf>
    <xf numFmtId="182" fontId="11" fillId="31" borderId="3" xfId="0" applyNumberFormat="1" applyFont="1" applyFill="1" applyBorder="1" applyAlignment="1">
      <alignment horizontal="right" vertical="center"/>
    </xf>
    <xf numFmtId="0" fontId="11" fillId="0" borderId="3" xfId="0" applyFont="1" applyBorder="1" applyAlignment="1">
      <alignment horizontal="left" vertical="center"/>
    </xf>
    <xf numFmtId="182" fontId="11" fillId="0" borderId="3" xfId="0" applyNumberFormat="1" applyFont="1" applyBorder="1" applyAlignment="1">
      <alignment horizontal="right" vertical="center"/>
    </xf>
    <xf numFmtId="181" fontId="6" fillId="31" borderId="3" xfId="0" applyNumberFormat="1" applyFont="1" applyFill="1" applyBorder="1" applyAlignment="1">
      <alignment horizontal="right" vertical="center"/>
    </xf>
    <xf numFmtId="181" fontId="11" fillId="0" borderId="3" xfId="0" applyNumberFormat="1" applyFont="1" applyBorder="1" applyAlignment="1" applyProtection="1">
      <alignment horizontal="right" vertical="center"/>
      <protection locked="0"/>
    </xf>
    <xf numFmtId="182" fontId="6" fillId="31" borderId="3" xfId="0" applyNumberFormat="1" applyFont="1" applyFill="1" applyBorder="1" applyAlignment="1">
      <alignment horizontal="right" vertical="center"/>
    </xf>
    <xf numFmtId="181" fontId="11" fillId="31" borderId="3" xfId="0" applyNumberFormat="1" applyFont="1" applyFill="1" applyBorder="1" applyAlignment="1">
      <alignment horizontal="right" vertical="center"/>
    </xf>
    <xf numFmtId="49" fontId="73" fillId="29" borderId="3" xfId="0" applyNumberFormat="1" applyFont="1" applyFill="1" applyBorder="1" applyAlignment="1">
      <alignment horizontal="center" vertical="center" wrapText="1"/>
    </xf>
    <xf numFmtId="182" fontId="5" fillId="29" borderId="3" xfId="0" applyNumberFormat="1" applyFont="1" applyFill="1" applyBorder="1" applyAlignment="1">
      <alignment horizontal="right" vertical="center"/>
    </xf>
    <xf numFmtId="182" fontId="81" fillId="29" borderId="3" xfId="0" applyNumberFormat="1" applyFont="1" applyFill="1" applyBorder="1" applyAlignment="1">
      <alignment horizontal="right" vertical="center"/>
    </xf>
    <xf numFmtId="181" fontId="6" fillId="0" borderId="3" xfId="0" applyNumberFormat="1" applyFont="1" applyBorder="1" applyAlignment="1" applyProtection="1">
      <alignment horizontal="right" vertical="center"/>
      <protection locked="0"/>
    </xf>
    <xf numFmtId="170" fontId="5" fillId="31" borderId="3" xfId="0" applyNumberFormat="1" applyFont="1" applyFill="1" applyBorder="1" applyAlignment="1">
      <alignment horizontal="right" vertical="center"/>
    </xf>
    <xf numFmtId="170" fontId="6" fillId="0" borderId="3" xfId="0" applyNumberFormat="1" applyFont="1" applyBorder="1" applyAlignment="1">
      <alignment horizontal="right" vertical="center"/>
    </xf>
    <xf numFmtId="182" fontId="6" fillId="0" borderId="3" xfId="0" applyNumberFormat="1" applyFont="1" applyBorder="1" applyAlignment="1">
      <alignment horizontal="right" vertical="center"/>
    </xf>
    <xf numFmtId="182" fontId="6" fillId="29" borderId="3" xfId="0" applyNumberFormat="1" applyFont="1" applyFill="1" applyBorder="1" applyAlignment="1">
      <alignment horizontal="right" vertical="center"/>
    </xf>
    <xf numFmtId="190" fontId="5" fillId="29" borderId="3" xfId="0" applyNumberFormat="1" applyFont="1" applyFill="1" applyBorder="1" applyAlignment="1">
      <alignment horizontal="right" vertical="center"/>
    </xf>
    <xf numFmtId="181" fontId="5" fillId="29" borderId="3" xfId="0" applyNumberFormat="1" applyFont="1" applyFill="1" applyBorder="1" applyAlignment="1">
      <alignment horizontal="right" vertical="center"/>
    </xf>
    <xf numFmtId="181" fontId="5" fillId="31" borderId="3" xfId="0" applyNumberFormat="1" applyFont="1" applyFill="1" applyBorder="1" applyAlignment="1">
      <alignment horizontal="right" vertical="center"/>
    </xf>
    <xf numFmtId="181" fontId="11" fillId="0" borderId="3" xfId="0" applyNumberFormat="1" applyFont="1" applyBorder="1" applyAlignment="1">
      <alignment horizontal="right" vertical="center"/>
    </xf>
    <xf numFmtId="49" fontId="78" fillId="0" borderId="3" xfId="0" applyNumberFormat="1" applyFont="1" applyBorder="1" applyAlignment="1">
      <alignment horizontal="center" vertical="center" wrapText="1"/>
    </xf>
    <xf numFmtId="181" fontId="5" fillId="0" borderId="3" xfId="0" applyNumberFormat="1" applyFont="1" applyBorder="1" applyAlignment="1">
      <alignment horizontal="right" vertical="center"/>
    </xf>
    <xf numFmtId="181" fontId="79" fillId="0" borderId="3" xfId="0" applyNumberFormat="1" applyFont="1" applyBorder="1" applyAlignment="1">
      <alignment horizontal="right" vertical="center"/>
    </xf>
    <xf numFmtId="49" fontId="73" fillId="0" borderId="3" xfId="0" applyNumberFormat="1" applyFont="1" applyBorder="1" applyAlignment="1">
      <alignment horizontal="center" vertical="center" wrapText="1"/>
    </xf>
    <xf numFmtId="182" fontId="81" fillId="29" borderId="3" xfId="0" applyNumberFormat="1" applyFont="1" applyFill="1" applyBorder="1" applyAlignment="1" applyProtection="1">
      <alignment horizontal="center" vertical="center" wrapText="1"/>
      <protection locked="0"/>
    </xf>
    <xf numFmtId="182" fontId="81" fillId="29" borderId="3" xfId="0" applyNumberFormat="1" applyFont="1" applyFill="1" applyBorder="1" applyAlignment="1" applyProtection="1">
      <alignment horizontal="right" vertical="center"/>
      <protection locked="0"/>
    </xf>
    <xf numFmtId="190" fontId="81" fillId="31" borderId="3" xfId="0" applyNumberFormat="1" applyFont="1" applyFill="1" applyBorder="1" applyAlignment="1">
      <alignment horizontal="right" vertical="center"/>
    </xf>
    <xf numFmtId="190" fontId="81" fillId="29" borderId="3" xfId="0" applyNumberFormat="1" applyFont="1" applyFill="1" applyBorder="1" applyAlignment="1" applyProtection="1">
      <alignment horizontal="right" vertical="center"/>
      <protection locked="0"/>
    </xf>
    <xf numFmtId="0" fontId="75" fillId="33" borderId="3" xfId="0" applyFont="1" applyFill="1" applyBorder="1" applyAlignment="1">
      <alignment horizontal="left" vertical="center" wrapText="1"/>
    </xf>
    <xf numFmtId="0" fontId="74" fillId="33" borderId="3" xfId="0" applyFont="1" applyFill="1" applyBorder="1" applyAlignment="1">
      <alignment horizontal="left" vertical="center" wrapText="1"/>
    </xf>
    <xf numFmtId="0" fontId="102" fillId="33" borderId="3" xfId="0" applyFont="1" applyFill="1" applyBorder="1" applyAlignment="1">
      <alignment horizontal="left" vertical="center" wrapText="1"/>
    </xf>
    <xf numFmtId="170" fontId="91" fillId="0" borderId="0" xfId="0" applyNumberFormat="1" applyFont="1" applyAlignment="1">
      <alignment vertical="center"/>
    </xf>
    <xf numFmtId="175" fontId="11" fillId="31" borderId="3" xfId="0" applyNumberFormat="1" applyFont="1" applyFill="1" applyBorder="1" applyAlignment="1">
      <alignment horizontal="right" vertical="center"/>
    </xf>
    <xf numFmtId="181" fontId="6" fillId="33" borderId="3" xfId="0" applyNumberFormat="1" applyFont="1" applyFill="1" applyBorder="1" applyAlignment="1" applyProtection="1">
      <alignment horizontal="right" vertical="center"/>
      <protection locked="0"/>
    </xf>
    <xf numFmtId="184" fontId="6" fillId="33" borderId="3" xfId="0" applyNumberFormat="1" applyFont="1" applyFill="1" applyBorder="1" applyAlignment="1" applyProtection="1">
      <alignment horizontal="right" vertical="center"/>
      <protection locked="0"/>
    </xf>
    <xf numFmtId="182" fontId="11" fillId="33" borderId="3" xfId="0" applyNumberFormat="1" applyFont="1" applyFill="1" applyBorder="1" applyAlignment="1" applyProtection="1">
      <alignment horizontal="right" vertical="center"/>
      <protection locked="0"/>
    </xf>
    <xf numFmtId="181" fontId="11" fillId="33" borderId="3" xfId="0" applyNumberFormat="1" applyFont="1" applyFill="1" applyBorder="1" applyAlignment="1" applyProtection="1">
      <alignment horizontal="right" vertical="center"/>
      <protection locked="0"/>
    </xf>
    <xf numFmtId="182" fontId="11" fillId="33" borderId="3" xfId="0" applyNumberFormat="1" applyFont="1" applyFill="1" applyBorder="1" applyAlignment="1">
      <alignment horizontal="right" vertical="center"/>
    </xf>
    <xf numFmtId="182" fontId="11" fillId="33" borderId="3" xfId="0" applyNumberFormat="1" applyFont="1" applyFill="1" applyBorder="1" applyAlignment="1">
      <alignment horizontal="right" vertical="center" wrapText="1"/>
    </xf>
    <xf numFmtId="170" fontId="5" fillId="29" borderId="3" xfId="0" applyNumberFormat="1" applyFont="1" applyFill="1" applyBorder="1" applyAlignment="1">
      <alignment horizontal="right" vertical="center"/>
    </xf>
    <xf numFmtId="0" fontId="6" fillId="0" borderId="19"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19" xfId="0" applyFont="1" applyBorder="1" applyAlignment="1">
      <alignment horizontal="center" vertical="center" wrapText="1"/>
    </xf>
    <xf numFmtId="0" fontId="77" fillId="0" borderId="20" xfId="0" applyFont="1" applyBorder="1" applyAlignment="1">
      <alignment vertical="center"/>
    </xf>
    <xf numFmtId="0" fontId="6" fillId="37" borderId="3" xfId="0" applyFont="1" applyFill="1" applyBorder="1" applyAlignment="1">
      <alignment horizontal="left" vertical="center" wrapText="1"/>
    </xf>
    <xf numFmtId="0" fontId="71" fillId="37" borderId="3" xfId="0" quotePrefix="1" applyFont="1" applyFill="1" applyBorder="1" applyAlignment="1">
      <alignment horizontal="center" vertical="center" wrapText="1"/>
    </xf>
    <xf numFmtId="181" fontId="6" fillId="37" borderId="3" xfId="0" applyNumberFormat="1" applyFont="1" applyFill="1" applyBorder="1" applyAlignment="1">
      <alignment horizontal="center" vertical="center" wrapText="1"/>
    </xf>
    <xf numFmtId="0" fontId="71" fillId="37" borderId="3" xfId="0" applyFont="1" applyFill="1" applyBorder="1" applyAlignment="1">
      <alignment horizontal="center" vertical="center" wrapText="1"/>
    </xf>
    <xf numFmtId="0" fontId="78" fillId="0" borderId="3" xfId="0" applyFont="1" applyBorder="1" applyAlignment="1">
      <alignment vertical="center" wrapText="1"/>
    </xf>
    <xf numFmtId="182" fontId="71" fillId="33" borderId="3" xfId="0" applyNumberFormat="1" applyFont="1" applyFill="1" applyBorder="1" applyAlignment="1" applyProtection="1">
      <alignment horizontal="right" vertical="center"/>
      <protection locked="0"/>
    </xf>
    <xf numFmtId="0" fontId="6" fillId="33" borderId="3" xfId="238" applyFont="1" applyFill="1" applyBorder="1" applyAlignment="1">
      <alignment horizontal="center" vertical="center"/>
    </xf>
    <xf numFmtId="185" fontId="6" fillId="33" borderId="3" xfId="238" applyNumberFormat="1" applyFont="1" applyFill="1" applyBorder="1" applyAlignment="1">
      <alignment horizontal="center" vertical="center" wrapText="1"/>
    </xf>
    <xf numFmtId="188" fontId="6" fillId="33" borderId="3" xfId="238" applyNumberFormat="1" applyFont="1" applyFill="1" applyBorder="1" applyAlignment="1">
      <alignment horizontal="center" vertical="center" wrapText="1"/>
    </xf>
    <xf numFmtId="179" fontId="103" fillId="0" borderId="3" xfId="0" applyNumberFormat="1" applyFont="1" applyBorder="1" applyAlignment="1">
      <alignment vertical="center" wrapText="1"/>
    </xf>
    <xf numFmtId="178" fontId="104" fillId="0" borderId="3" xfId="0" applyNumberFormat="1" applyFont="1" applyBorder="1" applyAlignment="1">
      <alignment vertical="center" wrapText="1"/>
    </xf>
    <xf numFmtId="0" fontId="6" fillId="33" borderId="0" xfId="0" applyFont="1" applyFill="1" applyAlignment="1">
      <alignment vertical="center"/>
    </xf>
    <xf numFmtId="0" fontId="6" fillId="33" borderId="0" xfId="0" applyFont="1" applyFill="1" applyAlignment="1">
      <alignment vertical="center" wrapText="1" shrinkToFit="1"/>
    </xf>
    <xf numFmtId="0" fontId="103" fillId="0" borderId="0" xfId="0" applyFont="1" applyAlignment="1">
      <alignment vertical="center"/>
    </xf>
    <xf numFmtId="178" fontId="11" fillId="33" borderId="3" xfId="0" applyNumberFormat="1" applyFont="1" applyFill="1" applyBorder="1" applyAlignment="1">
      <alignment horizontal="center" vertical="center" wrapText="1"/>
    </xf>
    <xf numFmtId="0" fontId="5" fillId="0" borderId="0" xfId="0" applyFont="1" applyAlignment="1">
      <alignment horizontal="left"/>
    </xf>
    <xf numFmtId="0" fontId="105" fillId="0" borderId="62" xfId="220" applyFont="1" applyBorder="1" applyAlignment="1">
      <alignment vertical="center"/>
    </xf>
    <xf numFmtId="0" fontId="105" fillId="0" borderId="62" xfId="220" applyFont="1" applyBorder="1" applyAlignment="1">
      <alignment horizontal="center" vertical="center" wrapText="1"/>
    </xf>
    <xf numFmtId="4" fontId="105" fillId="0" borderId="62" xfId="220" applyNumberFormat="1" applyFont="1" applyBorder="1" applyAlignment="1">
      <alignment horizontal="center" vertical="center"/>
    </xf>
    <xf numFmtId="4" fontId="105" fillId="0" borderId="63" xfId="220" applyNumberFormat="1" applyFont="1" applyBorder="1" applyAlignment="1">
      <alignment horizontal="center" vertical="center"/>
    </xf>
    <xf numFmtId="0" fontId="105" fillId="0" borderId="63" xfId="220" applyFont="1" applyBorder="1" applyAlignment="1">
      <alignment vertical="center"/>
    </xf>
    <xf numFmtId="0" fontId="13" fillId="0" borderId="63" xfId="220" applyFont="1" applyBorder="1" applyAlignment="1">
      <alignment vertical="center" wrapText="1"/>
    </xf>
    <xf numFmtId="0" fontId="105" fillId="0" borderId="63" xfId="220" applyFont="1" applyBorder="1" applyAlignment="1">
      <alignment horizontal="center" vertical="center"/>
    </xf>
    <xf numFmtId="0" fontId="105" fillId="40" borderId="63" xfId="220" applyFont="1" applyFill="1" applyBorder="1" applyAlignment="1">
      <alignment horizontal="left" vertical="center"/>
    </xf>
    <xf numFmtId="0" fontId="105" fillId="0" borderId="64" xfId="220" applyFont="1" applyBorder="1" applyAlignment="1">
      <alignment vertical="center"/>
    </xf>
    <xf numFmtId="0" fontId="13" fillId="0" borderId="63" xfId="220" applyFont="1" applyBorder="1" applyAlignment="1">
      <alignment horizontal="center" vertical="center" wrapText="1"/>
    </xf>
    <xf numFmtId="0" fontId="105" fillId="0" borderId="63" xfId="220" applyFont="1" applyBorder="1" applyAlignment="1">
      <alignment horizontal="center" vertical="center" wrapText="1"/>
    </xf>
    <xf numFmtId="0" fontId="13" fillId="0" borderId="63" xfId="220" applyFont="1" applyBorder="1" applyAlignment="1">
      <alignment horizontal="left" vertical="center"/>
    </xf>
    <xf numFmtId="0" fontId="105" fillId="40" borderId="63" xfId="220" applyFont="1" applyFill="1" applyBorder="1" applyAlignment="1">
      <alignment horizontal="center" vertical="center" wrapText="1"/>
    </xf>
    <xf numFmtId="0" fontId="105" fillId="40" borderId="63" xfId="220" applyFont="1" applyFill="1" applyBorder="1" applyAlignment="1">
      <alignment vertical="center"/>
    </xf>
    <xf numFmtId="4" fontId="106" fillId="0" borderId="65" xfId="220" applyNumberFormat="1" applyFont="1" applyBorder="1" applyAlignment="1">
      <alignment vertical="center"/>
    </xf>
    <xf numFmtId="4" fontId="106" fillId="0" borderId="0" xfId="220" applyNumberFormat="1" applyFont="1" applyAlignment="1">
      <alignment horizontal="center" vertical="center"/>
    </xf>
    <xf numFmtId="0" fontId="13" fillId="0" borderId="62" xfId="220" applyFont="1" applyBorder="1" applyAlignment="1">
      <alignment vertical="center"/>
    </xf>
    <xf numFmtId="0" fontId="13" fillId="0" borderId="62" xfId="220" applyFont="1" applyBorder="1" applyAlignment="1">
      <alignment vertical="center" wrapText="1"/>
    </xf>
    <xf numFmtId="0" fontId="13" fillId="0" borderId="62" xfId="220" applyFont="1" applyBorder="1" applyAlignment="1">
      <alignment horizontal="center" vertical="center" wrapText="1"/>
    </xf>
    <xf numFmtId="4" fontId="13" fillId="0" borderId="62" xfId="220" applyNumberFormat="1" applyFont="1" applyBorder="1" applyAlignment="1">
      <alignment horizontal="center" vertical="center"/>
    </xf>
    <xf numFmtId="0" fontId="105" fillId="0" borderId="3" xfId="220" applyFont="1" applyBorder="1" applyAlignment="1">
      <alignment horizontal="center" vertical="center"/>
    </xf>
    <xf numFmtId="0" fontId="105" fillId="0" borderId="3" xfId="220" applyFont="1" applyBorder="1" applyAlignment="1">
      <alignment vertical="center"/>
    </xf>
    <xf numFmtId="0" fontId="105" fillId="0" borderId="3" xfId="220" applyFont="1" applyBorder="1" applyAlignment="1">
      <alignment horizontal="center" vertical="center" wrapText="1"/>
    </xf>
    <xf numFmtId="4" fontId="105" fillId="0" borderId="3" xfId="220" applyNumberFormat="1" applyFont="1" applyBorder="1" applyAlignment="1">
      <alignment horizontal="center" vertical="center"/>
    </xf>
    <xf numFmtId="4" fontId="106" fillId="0" borderId="3" xfId="220" applyNumberFormat="1" applyFont="1" applyBorder="1" applyAlignment="1">
      <alignment horizontal="center" vertical="center"/>
    </xf>
    <xf numFmtId="4" fontId="106" fillId="0" borderId="3" xfId="220" applyNumberFormat="1" applyFont="1" applyBorder="1" applyAlignment="1">
      <alignment vertical="center"/>
    </xf>
    <xf numFmtId="0" fontId="94" fillId="0" borderId="3" xfId="220" applyFont="1" applyBorder="1"/>
    <xf numFmtId="0" fontId="105" fillId="0" borderId="65" xfId="220" applyFont="1" applyBorder="1" applyAlignment="1">
      <alignment vertical="center"/>
    </xf>
    <xf numFmtId="0" fontId="105" fillId="0" borderId="65" xfId="220" applyFont="1" applyBorder="1" applyAlignment="1">
      <alignment horizontal="center" vertical="center" wrapText="1"/>
    </xf>
    <xf numFmtId="4" fontId="105" fillId="0" borderId="65" xfId="220" applyNumberFormat="1" applyFont="1" applyBorder="1" applyAlignment="1">
      <alignment horizontal="center" vertical="center"/>
    </xf>
    <xf numFmtId="0" fontId="94" fillId="0" borderId="21" xfId="220" applyFont="1" applyBorder="1"/>
    <xf numFmtId="4" fontId="106" fillId="0" borderId="21" xfId="220" applyNumberFormat="1" applyFont="1" applyBorder="1" applyAlignment="1">
      <alignment horizontal="center" vertical="center"/>
    </xf>
    <xf numFmtId="4" fontId="106" fillId="0" borderId="21" xfId="220" applyNumberFormat="1" applyFont="1" applyBorder="1" applyAlignment="1">
      <alignment vertical="center"/>
    </xf>
    <xf numFmtId="4" fontId="106" fillId="0" borderId="66" xfId="220" applyNumberFormat="1" applyFont="1" applyBorder="1" applyAlignment="1">
      <alignment horizontal="center" vertical="center"/>
    </xf>
    <xf numFmtId="4" fontId="106" fillId="0" borderId="66" xfId="220" applyNumberFormat="1" applyFont="1" applyBorder="1" applyAlignment="1">
      <alignment vertical="center"/>
    </xf>
    <xf numFmtId="0" fontId="105" fillId="0" borderId="67" xfId="220" applyFont="1" applyBorder="1" applyAlignment="1">
      <alignment horizontal="center" vertical="center"/>
    </xf>
    <xf numFmtId="4" fontId="105" fillId="0" borderId="68" xfId="220" applyNumberFormat="1" applyFont="1" applyBorder="1" applyAlignment="1">
      <alignment horizontal="center" vertical="center"/>
    </xf>
    <xf numFmtId="0" fontId="105" fillId="0" borderId="69" xfId="220" applyFont="1" applyBorder="1" applyAlignment="1">
      <alignment horizontal="center" vertical="center"/>
    </xf>
    <xf numFmtId="4" fontId="105" fillId="0" borderId="70" xfId="220" applyNumberFormat="1" applyFont="1" applyBorder="1" applyAlignment="1">
      <alignment horizontal="center" vertical="center"/>
    </xf>
    <xf numFmtId="4" fontId="105" fillId="0" borderId="71" xfId="220" applyNumberFormat="1" applyFont="1" applyBorder="1" applyAlignment="1">
      <alignment horizontal="center" vertical="center"/>
    </xf>
    <xf numFmtId="0" fontId="106" fillId="0" borderId="22" xfId="220" applyFont="1" applyBorder="1" applyAlignment="1">
      <alignment horizontal="right" vertical="center" wrapText="1"/>
    </xf>
    <xf numFmtId="4" fontId="106" fillId="0" borderId="23" xfId="220" applyNumberFormat="1" applyFont="1" applyBorder="1" applyAlignment="1">
      <alignment horizontal="center" vertical="center"/>
    </xf>
    <xf numFmtId="0" fontId="106" fillId="0" borderId="24" xfId="220" applyFont="1" applyBorder="1" applyAlignment="1">
      <alignment horizontal="right" vertical="center" wrapText="1"/>
    </xf>
    <xf numFmtId="4" fontId="106" fillId="0" borderId="12" xfId="220" applyNumberFormat="1" applyFont="1" applyBorder="1" applyAlignment="1">
      <alignment horizontal="center" vertical="center"/>
    </xf>
    <xf numFmtId="0" fontId="106" fillId="0" borderId="25" xfId="220" applyFont="1" applyBorder="1" applyAlignment="1">
      <alignment horizontal="right" vertical="center" wrapText="1"/>
    </xf>
    <xf numFmtId="0" fontId="94" fillId="0" borderId="26" xfId="220" applyFont="1" applyBorder="1"/>
    <xf numFmtId="4" fontId="106" fillId="0" borderId="26" xfId="220" applyNumberFormat="1" applyFont="1" applyBorder="1" applyAlignment="1">
      <alignment horizontal="center" vertical="center"/>
    </xf>
    <xf numFmtId="4" fontId="106" fillId="0" borderId="27" xfId="220" applyNumberFormat="1" applyFont="1" applyBorder="1" applyAlignment="1">
      <alignment horizontal="center" vertical="center"/>
    </xf>
    <xf numFmtId="0" fontId="74" fillId="0" borderId="21" xfId="220" applyFont="1" applyBorder="1"/>
    <xf numFmtId="0" fontId="74" fillId="0" borderId="3" xfId="220" applyFont="1" applyBorder="1"/>
    <xf numFmtId="0" fontId="74" fillId="0" borderId="26" xfId="220" applyFont="1" applyBorder="1"/>
    <xf numFmtId="0" fontId="105" fillId="0" borderId="63" xfId="220" applyFont="1" applyBorder="1" applyAlignment="1">
      <alignment vertical="center" wrapText="1"/>
    </xf>
    <xf numFmtId="4" fontId="105" fillId="0" borderId="28" xfId="220" applyNumberFormat="1" applyFont="1" applyBorder="1" applyAlignment="1">
      <alignment horizontal="center" vertical="center"/>
    </xf>
    <xf numFmtId="4" fontId="106" fillId="0" borderId="29" xfId="220" applyNumberFormat="1" applyFont="1" applyBorder="1" applyAlignment="1">
      <alignment horizontal="center" vertical="center"/>
    </xf>
    <xf numFmtId="4" fontId="106" fillId="0" borderId="29" xfId="220" applyNumberFormat="1" applyFont="1" applyBorder="1" applyAlignment="1">
      <alignment vertical="center"/>
    </xf>
    <xf numFmtId="0" fontId="13" fillId="0" borderId="65" xfId="220" applyFont="1" applyBorder="1" applyAlignment="1">
      <alignment vertical="center"/>
    </xf>
    <xf numFmtId="0" fontId="13" fillId="0" borderId="65" xfId="220" applyFont="1" applyBorder="1" applyAlignment="1">
      <alignment vertical="center" wrapText="1"/>
    </xf>
    <xf numFmtId="0" fontId="13" fillId="0" borderId="65" xfId="220" applyFont="1" applyBorder="1" applyAlignment="1">
      <alignment horizontal="center" vertical="center" wrapText="1"/>
    </xf>
    <xf numFmtId="4" fontId="13" fillId="0" borderId="65" xfId="220" applyNumberFormat="1" applyFont="1" applyBorder="1" applyAlignment="1">
      <alignment horizontal="center" vertical="center"/>
    </xf>
    <xf numFmtId="0" fontId="105" fillId="0" borderId="65" xfId="220" applyFont="1" applyBorder="1" applyAlignment="1">
      <alignment horizontal="center" vertical="center"/>
    </xf>
    <xf numFmtId="193" fontId="13" fillId="0" borderId="65" xfId="220" applyNumberFormat="1" applyFont="1" applyBorder="1" applyAlignment="1">
      <alignment horizontal="center" vertical="center" wrapText="1"/>
    </xf>
    <xf numFmtId="0" fontId="105" fillId="0" borderId="72" xfId="220" applyFont="1" applyBorder="1" applyAlignment="1">
      <alignment horizontal="center" vertical="center"/>
    </xf>
    <xf numFmtId="0" fontId="106" fillId="0" borderId="30" xfId="220" applyFont="1" applyBorder="1" applyAlignment="1">
      <alignment horizontal="right" vertical="center" wrapText="1"/>
    </xf>
    <xf numFmtId="0" fontId="74" fillId="0" borderId="18" xfId="220" applyFont="1" applyBorder="1"/>
    <xf numFmtId="0" fontId="94" fillId="0" borderId="18" xfId="220" applyFont="1" applyBorder="1"/>
    <xf numFmtId="4" fontId="106" fillId="0" borderId="18" xfId="220" applyNumberFormat="1" applyFont="1" applyBorder="1" applyAlignment="1">
      <alignment horizontal="center" vertical="center"/>
    </xf>
    <xf numFmtId="0" fontId="105" fillId="40" borderId="65" xfId="220" applyFont="1" applyFill="1" applyBorder="1" applyAlignment="1">
      <alignment vertical="center"/>
    </xf>
    <xf numFmtId="0" fontId="105" fillId="40" borderId="65" xfId="220" applyFont="1" applyFill="1" applyBorder="1" applyAlignment="1">
      <alignment horizontal="center" vertical="center" wrapText="1"/>
    </xf>
    <xf numFmtId="4" fontId="105" fillId="40" borderId="65" xfId="220" applyNumberFormat="1" applyFont="1" applyFill="1" applyBorder="1" applyAlignment="1">
      <alignment horizontal="center" vertical="center"/>
    </xf>
    <xf numFmtId="0" fontId="79" fillId="0" borderId="21" xfId="220" applyFont="1" applyBorder="1"/>
    <xf numFmtId="0" fontId="79" fillId="0" borderId="3" xfId="220" applyFont="1" applyBorder="1"/>
    <xf numFmtId="0" fontId="106" fillId="0" borderId="0" xfId="220" applyFont="1" applyAlignment="1">
      <alignment horizontal="right" vertical="center" wrapText="1"/>
    </xf>
    <xf numFmtId="0" fontId="79" fillId="0" borderId="28" xfId="220" applyFont="1" applyBorder="1"/>
    <xf numFmtId="0" fontId="94" fillId="0" borderId="28" xfId="220" applyFont="1" applyBorder="1"/>
    <xf numFmtId="0" fontId="74" fillId="0" borderId="28" xfId="220" applyFont="1" applyBorder="1"/>
    <xf numFmtId="4" fontId="106" fillId="0" borderId="28" xfId="220" applyNumberFormat="1" applyFont="1" applyBorder="1" applyAlignment="1">
      <alignment horizontal="center" vertical="center"/>
    </xf>
    <xf numFmtId="4" fontId="106" fillId="41" borderId="73" xfId="220" applyNumberFormat="1" applyFont="1" applyFill="1" applyBorder="1" applyAlignment="1">
      <alignment horizontal="center" vertical="center"/>
    </xf>
    <xf numFmtId="0" fontId="105" fillId="0" borderId="24" xfId="220" applyFont="1" applyBorder="1" applyAlignment="1">
      <alignment horizontal="center" vertical="center"/>
    </xf>
    <xf numFmtId="0" fontId="13" fillId="0" borderId="67" xfId="220" applyFont="1" applyBorder="1" applyAlignment="1">
      <alignment horizontal="center" vertical="center"/>
    </xf>
    <xf numFmtId="4" fontId="13" fillId="0" borderId="68" xfId="220" applyNumberFormat="1" applyFont="1" applyBorder="1" applyAlignment="1">
      <alignment horizontal="center" vertical="center"/>
    </xf>
    <xf numFmtId="0" fontId="13" fillId="0" borderId="72" xfId="220" applyFont="1" applyBorder="1" applyAlignment="1">
      <alignment horizontal="center" vertical="center"/>
    </xf>
    <xf numFmtId="4" fontId="13" fillId="0" borderId="70" xfId="220" applyNumberFormat="1" applyFont="1" applyBorder="1" applyAlignment="1">
      <alignment horizontal="center" vertical="center"/>
    </xf>
    <xf numFmtId="0" fontId="105" fillId="0" borderId="69" xfId="220" applyFont="1" applyBorder="1" applyAlignment="1">
      <alignment horizontal="center" vertical="center" wrapText="1"/>
    </xf>
    <xf numFmtId="0" fontId="105" fillId="0" borderId="72" xfId="220" applyFont="1" applyBorder="1" applyAlignment="1">
      <alignment horizontal="center" vertical="center" wrapText="1"/>
    </xf>
    <xf numFmtId="4" fontId="106" fillId="0" borderId="32" xfId="220" applyNumberFormat="1" applyFont="1" applyBorder="1" applyAlignment="1">
      <alignment horizontal="center" vertical="center"/>
    </xf>
    <xf numFmtId="4" fontId="106" fillId="0" borderId="12" xfId="220" applyNumberFormat="1" applyFont="1" applyBorder="1" applyAlignment="1">
      <alignment vertical="center"/>
    </xf>
    <xf numFmtId="4" fontId="106" fillId="0" borderId="33" xfId="220" applyNumberFormat="1" applyFont="1" applyBorder="1" applyAlignment="1">
      <alignment horizontal="center" vertical="center"/>
    </xf>
    <xf numFmtId="0" fontId="106" fillId="0" borderId="31" xfId="220" applyFont="1" applyBorder="1" applyAlignment="1">
      <alignment horizontal="right" vertical="center" wrapText="1"/>
    </xf>
    <xf numFmtId="4" fontId="106" fillId="0" borderId="34" xfId="220" applyNumberFormat="1" applyFont="1" applyBorder="1" applyAlignment="1">
      <alignment horizontal="center" vertical="center"/>
    </xf>
    <xf numFmtId="4" fontId="106" fillId="36" borderId="66" xfId="220" applyNumberFormat="1" applyFont="1" applyFill="1" applyBorder="1" applyAlignment="1">
      <alignment horizontal="center" vertical="center"/>
    </xf>
    <xf numFmtId="4" fontId="106" fillId="36" borderId="74" xfId="220" applyNumberFormat="1" applyFont="1" applyFill="1" applyBorder="1" applyAlignment="1">
      <alignment horizontal="center" vertical="center"/>
    </xf>
    <xf numFmtId="4" fontId="106" fillId="36" borderId="29" xfId="220" applyNumberFormat="1" applyFont="1" applyFill="1" applyBorder="1" applyAlignment="1">
      <alignment horizontal="center" vertical="center"/>
    </xf>
    <xf numFmtId="4" fontId="106" fillId="36" borderId="35" xfId="220" applyNumberFormat="1" applyFont="1" applyFill="1" applyBorder="1" applyAlignment="1">
      <alignment horizontal="center" vertical="center"/>
    </xf>
    <xf numFmtId="4" fontId="107" fillId="0" borderId="63" xfId="220" applyNumberFormat="1" applyFont="1" applyBorder="1" applyAlignment="1">
      <alignment horizontal="center" vertical="center"/>
    </xf>
    <xf numFmtId="4" fontId="107" fillId="0" borderId="65" xfId="220" applyNumberFormat="1" applyFont="1" applyBorder="1" applyAlignment="1">
      <alignment horizontal="center" vertical="center"/>
    </xf>
    <xf numFmtId="4" fontId="107" fillId="0" borderId="62" xfId="220" applyNumberFormat="1" applyFont="1" applyBorder="1" applyAlignment="1">
      <alignment horizontal="center" vertical="center"/>
    </xf>
    <xf numFmtId="4" fontId="105" fillId="0" borderId="12" xfId="220" applyNumberFormat="1" applyFont="1" applyBorder="1" applyAlignment="1">
      <alignment horizontal="center" vertical="center"/>
    </xf>
    <xf numFmtId="4" fontId="13" fillId="0" borderId="71" xfId="220" applyNumberFormat="1" applyFont="1" applyBorder="1" applyAlignment="1">
      <alignment horizontal="center" vertical="center"/>
    </xf>
    <xf numFmtId="0" fontId="105" fillId="0" borderId="75" xfId="220" applyFont="1" applyBorder="1" applyAlignment="1">
      <alignment horizontal="center" vertical="center"/>
    </xf>
    <xf numFmtId="0" fontId="105" fillId="0" borderId="75" xfId="220" applyFont="1" applyBorder="1" applyAlignment="1">
      <alignment horizontal="center" vertical="center" wrapText="1"/>
    </xf>
    <xf numFmtId="4" fontId="105" fillId="0" borderId="75" xfId="220" applyNumberFormat="1" applyFont="1" applyBorder="1" applyAlignment="1">
      <alignment horizontal="center" vertical="center"/>
    </xf>
    <xf numFmtId="4" fontId="105" fillId="0" borderId="76" xfId="220" applyNumberFormat="1" applyFont="1" applyBorder="1" applyAlignment="1">
      <alignment horizontal="center" vertical="center"/>
    </xf>
    <xf numFmtId="0" fontId="105" fillId="0" borderId="77" xfId="220" applyFont="1" applyBorder="1" applyAlignment="1">
      <alignment horizontal="center" vertical="center"/>
    </xf>
    <xf numFmtId="0" fontId="105" fillId="0" borderId="78" xfId="220" applyFont="1" applyBorder="1" applyAlignment="1">
      <alignment horizontal="center" vertical="center"/>
    </xf>
    <xf numFmtId="0" fontId="105" fillId="0" borderId="78" xfId="220" applyFont="1" applyBorder="1" applyAlignment="1">
      <alignment horizontal="center" vertical="center" wrapText="1"/>
    </xf>
    <xf numFmtId="4" fontId="105" fillId="0" borderId="78" xfId="220" applyNumberFormat="1" applyFont="1" applyBorder="1" applyAlignment="1">
      <alignment horizontal="center" vertical="center"/>
    </xf>
    <xf numFmtId="4" fontId="107" fillId="0" borderId="78" xfId="220" applyNumberFormat="1" applyFont="1" applyBorder="1" applyAlignment="1">
      <alignment horizontal="center" vertical="center"/>
    </xf>
    <xf numFmtId="4" fontId="105" fillId="0" borderId="79" xfId="220" applyNumberFormat="1" applyFont="1" applyBorder="1" applyAlignment="1">
      <alignment horizontal="center" vertical="center"/>
    </xf>
    <xf numFmtId="0" fontId="11" fillId="0" borderId="0" xfId="220" applyFont="1"/>
    <xf numFmtId="4" fontId="11" fillId="0" borderId="0" xfId="220" applyNumberFormat="1" applyFont="1"/>
    <xf numFmtId="49" fontId="105" fillId="0" borderId="63" xfId="220" applyNumberFormat="1" applyFont="1" applyBorder="1" applyAlignment="1">
      <alignment horizontal="center" vertical="center"/>
    </xf>
    <xf numFmtId="4" fontId="106" fillId="0" borderId="80" xfId="220" applyNumberFormat="1" applyFont="1" applyBorder="1" applyAlignment="1">
      <alignment horizontal="center" vertical="center"/>
    </xf>
    <xf numFmtId="4" fontId="106" fillId="36" borderId="80" xfId="220" applyNumberFormat="1" applyFont="1" applyFill="1" applyBorder="1" applyAlignment="1">
      <alignment horizontal="center" vertical="center"/>
    </xf>
    <xf numFmtId="4" fontId="106" fillId="36" borderId="81" xfId="220" applyNumberFormat="1" applyFont="1" applyFill="1" applyBorder="1" applyAlignment="1">
      <alignment horizontal="center" vertical="center"/>
    </xf>
    <xf numFmtId="49" fontId="107" fillId="0" borderId="63" xfId="220" applyNumberFormat="1" applyFont="1" applyBorder="1" applyAlignment="1">
      <alignment horizontal="center" vertical="center"/>
    </xf>
    <xf numFmtId="49" fontId="105" fillId="0" borderId="65" xfId="220" applyNumberFormat="1" applyFont="1" applyBorder="1" applyAlignment="1">
      <alignment horizontal="center" vertical="center"/>
    </xf>
    <xf numFmtId="49" fontId="107" fillId="0" borderId="65" xfId="220" applyNumberFormat="1" applyFont="1" applyBorder="1" applyAlignment="1">
      <alignment horizontal="center" vertical="center"/>
    </xf>
    <xf numFmtId="49" fontId="107" fillId="0" borderId="78" xfId="220" applyNumberFormat="1" applyFont="1" applyBorder="1" applyAlignment="1">
      <alignment horizontal="center" vertical="center"/>
    </xf>
    <xf numFmtId="49" fontId="105" fillId="0" borderId="75" xfId="220" applyNumberFormat="1" applyFont="1" applyBorder="1" applyAlignment="1">
      <alignment horizontal="center" vertical="center"/>
    </xf>
    <xf numFmtId="0" fontId="105" fillId="42" borderId="22" xfId="220" applyFont="1" applyFill="1" applyBorder="1" applyAlignment="1">
      <alignment horizontal="center" vertical="center" wrapText="1"/>
    </xf>
    <xf numFmtId="0" fontId="13" fillId="33" borderId="21" xfId="220" applyFont="1" applyFill="1" applyBorder="1"/>
    <xf numFmtId="0" fontId="13" fillId="0" borderId="21" xfId="220" applyFont="1" applyBorder="1"/>
    <xf numFmtId="0" fontId="13" fillId="0" borderId="21" xfId="220" applyFont="1" applyBorder="1" applyAlignment="1">
      <alignment horizontal="center"/>
    </xf>
    <xf numFmtId="2" fontId="13" fillId="0" borderId="21" xfId="220" applyNumberFormat="1" applyFont="1" applyBorder="1" applyAlignment="1">
      <alignment horizontal="center"/>
    </xf>
    <xf numFmtId="4" fontId="107" fillId="0" borderId="21" xfId="220" applyNumberFormat="1" applyFont="1" applyBorder="1" applyAlignment="1">
      <alignment horizontal="center" vertical="center"/>
    </xf>
    <xf numFmtId="4" fontId="13" fillId="0" borderId="23" xfId="220" applyNumberFormat="1" applyFont="1" applyBorder="1" applyAlignment="1">
      <alignment horizontal="center"/>
    </xf>
    <xf numFmtId="4" fontId="106" fillId="0" borderId="28" xfId="220" applyNumberFormat="1" applyFont="1" applyBorder="1" applyAlignment="1">
      <alignment vertical="center"/>
    </xf>
    <xf numFmtId="0" fontId="105" fillId="0" borderId="62" xfId="220" applyFont="1" applyBorder="1" applyAlignment="1">
      <alignment horizontal="center" vertical="center"/>
    </xf>
    <xf numFmtId="0" fontId="105" fillId="0" borderId="67" xfId="220" applyFont="1" applyBorder="1" applyAlignment="1">
      <alignment horizontal="center" vertical="center" wrapText="1"/>
    </xf>
    <xf numFmtId="4" fontId="105" fillId="0" borderId="62" xfId="220" applyNumberFormat="1" applyFont="1" applyBorder="1" applyAlignment="1">
      <alignment horizontal="center" vertical="center" wrapText="1"/>
    </xf>
    <xf numFmtId="49" fontId="107" fillId="0" borderId="62" xfId="220" applyNumberFormat="1" applyFont="1" applyBorder="1" applyAlignment="1">
      <alignment horizontal="center" vertical="center"/>
    </xf>
    <xf numFmtId="49" fontId="105" fillId="0" borderId="62" xfId="220" applyNumberFormat="1" applyFont="1" applyBorder="1" applyAlignment="1">
      <alignment horizontal="center" vertical="center"/>
    </xf>
    <xf numFmtId="0" fontId="105" fillId="0" borderId="24" xfId="220" applyFont="1" applyBorder="1" applyAlignment="1">
      <alignment horizontal="center" vertical="center" wrapText="1"/>
    </xf>
    <xf numFmtId="4" fontId="106" fillId="0" borderId="23" xfId="220" applyNumberFormat="1" applyFont="1" applyBorder="1" applyAlignment="1">
      <alignment vertical="center"/>
    </xf>
    <xf numFmtId="4" fontId="106" fillId="0" borderId="34" xfId="220" applyNumberFormat="1" applyFont="1" applyBorder="1" applyAlignment="1">
      <alignment vertical="center"/>
    </xf>
    <xf numFmtId="4" fontId="106" fillId="43" borderId="27" xfId="220" applyNumberFormat="1" applyFont="1" applyFill="1" applyBorder="1" applyAlignment="1">
      <alignment horizontal="center" vertical="center"/>
    </xf>
    <xf numFmtId="0" fontId="100" fillId="0" borderId="0" xfId="220" applyAlignment="1">
      <alignment wrapText="1"/>
    </xf>
    <xf numFmtId="4" fontId="105" fillId="0" borderId="82" xfId="220" applyNumberFormat="1" applyFont="1" applyBorder="1" applyAlignment="1">
      <alignment horizontal="center" vertical="center"/>
    </xf>
    <xf numFmtId="4" fontId="105" fillId="0" borderId="83" xfId="220" applyNumberFormat="1" applyFont="1" applyBorder="1" applyAlignment="1">
      <alignment horizontal="center" vertical="center"/>
    </xf>
    <xf numFmtId="4" fontId="107" fillId="0" borderId="84" xfId="220" applyNumberFormat="1" applyFont="1" applyBorder="1" applyAlignment="1">
      <alignment horizontal="center" vertical="center"/>
    </xf>
    <xf numFmtId="4" fontId="105" fillId="0" borderId="84" xfId="220" applyNumberFormat="1" applyFont="1" applyBorder="1" applyAlignment="1">
      <alignment horizontal="center" vertical="center"/>
    </xf>
    <xf numFmtId="191" fontId="105" fillId="0" borderId="3" xfId="220" applyNumberFormat="1" applyFont="1" applyBorder="1" applyAlignment="1">
      <alignment horizontal="center" vertical="center"/>
    </xf>
    <xf numFmtId="185" fontId="105" fillId="0" borderId="3" xfId="220" applyNumberFormat="1" applyFont="1" applyBorder="1" applyAlignment="1">
      <alignment horizontal="center" vertical="center"/>
    </xf>
    <xf numFmtId="4" fontId="106" fillId="44" borderId="85" xfId="220" applyNumberFormat="1" applyFont="1" applyFill="1" applyBorder="1" applyAlignment="1">
      <alignment horizontal="center" vertical="center"/>
    </xf>
    <xf numFmtId="4" fontId="105" fillId="0" borderId="86" xfId="220" applyNumberFormat="1" applyFont="1" applyBorder="1" applyAlignment="1">
      <alignment horizontal="center" vertical="center"/>
    </xf>
    <xf numFmtId="4" fontId="105" fillId="0" borderId="87" xfId="220" applyNumberFormat="1" applyFont="1" applyBorder="1" applyAlignment="1">
      <alignment horizontal="center" vertical="center"/>
    </xf>
    <xf numFmtId="4" fontId="106" fillId="0" borderId="80" xfId="220" applyNumberFormat="1" applyFont="1" applyBorder="1" applyAlignment="1">
      <alignment vertical="center"/>
    </xf>
    <xf numFmtId="4" fontId="108" fillId="0" borderId="3" xfId="220" applyNumberFormat="1" applyFont="1" applyBorder="1" applyAlignment="1">
      <alignment horizontal="center" vertical="center"/>
    </xf>
    <xf numFmtId="4" fontId="107" fillId="0" borderId="3" xfId="220" applyNumberFormat="1" applyFont="1" applyBorder="1" applyAlignment="1">
      <alignment horizontal="center" vertical="center"/>
    </xf>
    <xf numFmtId="0" fontId="105" fillId="0" borderId="26" xfId="220" applyFont="1" applyBorder="1" applyAlignment="1">
      <alignment horizontal="center" vertical="center"/>
    </xf>
    <xf numFmtId="0" fontId="105" fillId="0" borderId="26" xfId="220" applyFont="1" applyBorder="1" applyAlignment="1">
      <alignment vertical="center"/>
    </xf>
    <xf numFmtId="0" fontId="105" fillId="0" borderId="26" xfId="220" applyFont="1" applyBorder="1" applyAlignment="1">
      <alignment horizontal="center" vertical="center" wrapText="1"/>
    </xf>
    <xf numFmtId="4" fontId="105" fillId="0" borderId="26" xfId="220" applyNumberFormat="1" applyFont="1" applyBorder="1" applyAlignment="1">
      <alignment horizontal="center" vertical="center"/>
    </xf>
    <xf numFmtId="191" fontId="105" fillId="0" borderId="89" xfId="220" applyNumberFormat="1" applyFont="1" applyBorder="1" applyAlignment="1">
      <alignment horizontal="center" vertical="center"/>
    </xf>
    <xf numFmtId="4" fontId="13" fillId="0" borderId="82" xfId="220" applyNumberFormat="1" applyFont="1" applyBorder="1" applyAlignment="1">
      <alignment horizontal="center" vertical="center"/>
    </xf>
    <xf numFmtId="191" fontId="105" fillId="0" borderId="3" xfId="220" applyNumberFormat="1" applyFont="1" applyBorder="1" applyAlignment="1">
      <alignment horizontal="center" vertical="center" wrapText="1"/>
    </xf>
    <xf numFmtId="4" fontId="105" fillId="0" borderId="64" xfId="220" applyNumberFormat="1" applyFont="1" applyBorder="1" applyAlignment="1">
      <alignment horizontal="center" vertical="center"/>
    </xf>
    <xf numFmtId="4" fontId="105" fillId="0" borderId="36" xfId="220" applyNumberFormat="1" applyFont="1" applyBorder="1" applyAlignment="1">
      <alignment horizontal="center" vertical="center"/>
    </xf>
    <xf numFmtId="191" fontId="105" fillId="0" borderId="26" xfId="220" applyNumberFormat="1" applyFont="1" applyBorder="1" applyAlignment="1">
      <alignment horizontal="center" vertical="center"/>
    </xf>
    <xf numFmtId="4" fontId="105" fillId="0" borderId="37" xfId="220" applyNumberFormat="1" applyFont="1" applyBorder="1" applyAlignment="1">
      <alignment horizontal="center" vertical="center"/>
    </xf>
    <xf numFmtId="49" fontId="105" fillId="0" borderId="26" xfId="220" applyNumberFormat="1" applyFont="1" applyBorder="1" applyAlignment="1">
      <alignment horizontal="center" vertical="center"/>
    </xf>
    <xf numFmtId="4" fontId="105" fillId="0" borderId="90" xfId="220" applyNumberFormat="1" applyFont="1" applyBorder="1" applyAlignment="1">
      <alignment horizontal="center" vertical="center"/>
    </xf>
    <xf numFmtId="4" fontId="107" fillId="0" borderId="91" xfId="220" applyNumberFormat="1" applyFont="1" applyBorder="1" applyAlignment="1">
      <alignment horizontal="center" vertical="center"/>
    </xf>
    <xf numFmtId="4" fontId="105" fillId="40" borderId="82" xfId="220" applyNumberFormat="1" applyFont="1" applyFill="1" applyBorder="1" applyAlignment="1">
      <alignment horizontal="center" vertical="center"/>
    </xf>
    <xf numFmtId="0" fontId="95" fillId="38" borderId="38" xfId="220" applyFont="1" applyFill="1" applyBorder="1" applyAlignment="1">
      <alignment horizontal="center" vertical="center" wrapText="1"/>
    </xf>
    <xf numFmtId="0" fontId="94" fillId="44" borderId="92" xfId="220" applyFont="1" applyFill="1" applyBorder="1"/>
    <xf numFmtId="4" fontId="106" fillId="0" borderId="93" xfId="220" applyNumberFormat="1" applyFont="1" applyBorder="1" applyAlignment="1">
      <alignment vertical="center"/>
    </xf>
    <xf numFmtId="4" fontId="106" fillId="0" borderId="39" xfId="220" applyNumberFormat="1" applyFont="1" applyBorder="1" applyAlignment="1">
      <alignment vertical="center"/>
    </xf>
    <xf numFmtId="191" fontId="105" fillId="0" borderId="28" xfId="220" applyNumberFormat="1" applyFont="1" applyBorder="1" applyAlignment="1">
      <alignment horizontal="center" vertical="center"/>
    </xf>
    <xf numFmtId="4" fontId="107" fillId="0" borderId="64" xfId="220" applyNumberFormat="1" applyFont="1" applyBorder="1" applyAlignment="1">
      <alignment horizontal="center" vertical="center"/>
    </xf>
    <xf numFmtId="49" fontId="105" fillId="0" borderId="3" xfId="220" applyNumberFormat="1" applyFont="1" applyBorder="1" applyAlignment="1">
      <alignment horizontal="center" vertical="center"/>
    </xf>
    <xf numFmtId="4" fontId="106" fillId="0" borderId="89" xfId="220" applyNumberFormat="1" applyFont="1" applyBorder="1" applyAlignment="1">
      <alignment horizontal="center" vertical="center"/>
    </xf>
    <xf numFmtId="4" fontId="106" fillId="0" borderId="89" xfId="220" applyNumberFormat="1" applyFont="1" applyBorder="1" applyAlignment="1">
      <alignment vertical="center"/>
    </xf>
    <xf numFmtId="4" fontId="106" fillId="36" borderId="89" xfId="220" applyNumberFormat="1" applyFont="1" applyFill="1" applyBorder="1" applyAlignment="1">
      <alignment horizontal="center" vertical="center"/>
    </xf>
    <xf numFmtId="0" fontId="81" fillId="0" borderId="0" xfId="220" applyFont="1"/>
    <xf numFmtId="4" fontId="81" fillId="0" borderId="0" xfId="220" applyNumberFormat="1" applyFont="1" applyAlignment="1">
      <alignment horizontal="center"/>
    </xf>
    <xf numFmtId="4" fontId="81" fillId="0" borderId="0" xfId="220" applyNumberFormat="1" applyFont="1"/>
    <xf numFmtId="4" fontId="106" fillId="0" borderId="26" xfId="220" applyNumberFormat="1" applyFont="1" applyBorder="1" applyAlignment="1">
      <alignment vertical="center"/>
    </xf>
    <xf numFmtId="4" fontId="13" fillId="0" borderId="88" xfId="220" applyNumberFormat="1" applyFont="1" applyBorder="1" applyAlignment="1">
      <alignment horizontal="center" vertical="center"/>
    </xf>
    <xf numFmtId="4" fontId="13" fillId="0" borderId="83" xfId="220" applyNumberFormat="1" applyFont="1" applyBorder="1" applyAlignment="1">
      <alignment horizontal="center" vertical="center"/>
    </xf>
    <xf numFmtId="4" fontId="13" fillId="0" borderId="3" xfId="220" applyNumberFormat="1" applyFont="1" applyBorder="1" applyAlignment="1">
      <alignment horizontal="center" vertical="center"/>
    </xf>
    <xf numFmtId="4" fontId="106" fillId="36" borderId="40" xfId="220" applyNumberFormat="1" applyFont="1" applyFill="1" applyBorder="1" applyAlignment="1">
      <alignment horizontal="center" vertical="center"/>
    </xf>
    <xf numFmtId="0" fontId="13" fillId="33" borderId="63" xfId="220" applyFont="1" applyFill="1" applyBorder="1" applyAlignment="1">
      <alignment vertical="center"/>
    </xf>
    <xf numFmtId="0" fontId="13" fillId="33" borderId="65" xfId="220" applyFont="1" applyFill="1" applyBorder="1" applyAlignment="1">
      <alignment vertical="center"/>
    </xf>
    <xf numFmtId="191" fontId="105" fillId="45" borderId="3" xfId="220" applyNumberFormat="1" applyFont="1" applyFill="1" applyBorder="1" applyAlignment="1">
      <alignment horizontal="center" vertical="center"/>
    </xf>
    <xf numFmtId="191" fontId="105" fillId="0" borderId="21" xfId="220" applyNumberFormat="1" applyFont="1" applyBorder="1" applyAlignment="1">
      <alignment horizontal="center" vertical="center"/>
    </xf>
    <xf numFmtId="4" fontId="107" fillId="0" borderId="96" xfId="220" applyNumberFormat="1" applyFont="1" applyBorder="1" applyAlignment="1">
      <alignment horizontal="center" vertical="center"/>
    </xf>
    <xf numFmtId="4" fontId="106" fillId="0" borderId="41" xfId="220" applyNumberFormat="1" applyFont="1" applyBorder="1" applyAlignment="1">
      <alignment horizontal="center" vertical="center"/>
    </xf>
    <xf numFmtId="0" fontId="106" fillId="0" borderId="42" xfId="220" applyFont="1" applyBorder="1" applyAlignment="1">
      <alignment horizontal="right" vertical="center" wrapText="1"/>
    </xf>
    <xf numFmtId="191" fontId="105" fillId="0" borderId="0" xfId="220" applyNumberFormat="1" applyFont="1" applyAlignment="1">
      <alignment horizontal="center" vertical="center"/>
    </xf>
    <xf numFmtId="191" fontId="105" fillId="0" borderId="0" xfId="220" applyNumberFormat="1" applyFont="1" applyAlignment="1">
      <alignment horizontal="center" vertical="center" wrapText="1"/>
    </xf>
    <xf numFmtId="4" fontId="106" fillId="0" borderId="94" xfId="220" applyNumberFormat="1" applyFont="1" applyBorder="1" applyAlignment="1">
      <alignment horizontal="center" vertical="center"/>
    </xf>
    <xf numFmtId="0" fontId="5" fillId="0" borderId="0" xfId="220" applyFont="1"/>
    <xf numFmtId="0" fontId="5" fillId="0" borderId="0" xfId="220" applyFont="1" applyAlignment="1">
      <alignment horizontal="center"/>
    </xf>
    <xf numFmtId="4" fontId="106" fillId="43" borderId="0" xfId="220" applyNumberFormat="1" applyFont="1" applyFill="1" applyAlignment="1">
      <alignment horizontal="center" vertical="center"/>
    </xf>
    <xf numFmtId="0" fontId="106" fillId="46" borderId="31" xfId="220" applyFont="1" applyFill="1" applyBorder="1" applyAlignment="1">
      <alignment horizontal="right" vertical="center" wrapText="1"/>
    </xf>
    <xf numFmtId="4" fontId="106" fillId="46" borderId="41" xfId="220" applyNumberFormat="1" applyFont="1" applyFill="1" applyBorder="1" applyAlignment="1">
      <alignment horizontal="center" vertical="center"/>
    </xf>
    <xf numFmtId="0" fontId="74" fillId="0" borderId="3" xfId="246" applyFont="1" applyBorder="1" applyAlignment="1">
      <alignment horizontal="left" vertical="center" wrapText="1"/>
    </xf>
    <xf numFmtId="179" fontId="103" fillId="33" borderId="3" xfId="0" applyNumberFormat="1" applyFont="1" applyFill="1" applyBorder="1" applyAlignment="1">
      <alignment vertical="center" wrapText="1"/>
    </xf>
    <xf numFmtId="3" fontId="90" fillId="0" borderId="3" xfId="0" applyNumberFormat="1" applyFont="1" applyBorder="1" applyAlignment="1">
      <alignment horizontal="center" vertical="center" wrapText="1"/>
    </xf>
    <xf numFmtId="194" fontId="6" fillId="29" borderId="3" xfId="0" applyNumberFormat="1" applyFont="1" applyFill="1" applyBorder="1" applyAlignment="1">
      <alignment horizontal="center" vertical="center" wrapText="1"/>
    </xf>
    <xf numFmtId="4" fontId="109" fillId="47" borderId="97" xfId="220" applyNumberFormat="1" applyFont="1" applyFill="1" applyBorder="1" applyAlignment="1">
      <alignment horizontal="center" vertical="center"/>
    </xf>
    <xf numFmtId="0" fontId="103" fillId="0" borderId="0" xfId="0" applyFont="1" applyAlignment="1">
      <alignment vertical="center" wrapText="1"/>
    </xf>
    <xf numFmtId="0" fontId="11" fillId="0" borderId="3" xfId="0" applyFont="1" applyBorder="1" applyAlignment="1">
      <alignment vertical="center" wrapText="1"/>
    </xf>
    <xf numFmtId="0" fontId="111" fillId="0" borderId="0" xfId="0" applyFont="1"/>
    <xf numFmtId="189" fontId="6" fillId="29" borderId="3" xfId="0" applyNumberFormat="1" applyFont="1" applyFill="1" applyBorder="1" applyAlignment="1">
      <alignment horizontal="center" vertical="center" wrapText="1"/>
    </xf>
    <xf numFmtId="4" fontId="90" fillId="0" borderId="0" xfId="220" applyNumberFormat="1" applyFont="1"/>
    <xf numFmtId="4" fontId="95" fillId="0" borderId="0" xfId="220" applyNumberFormat="1" applyFont="1"/>
    <xf numFmtId="0" fontId="112" fillId="0" borderId="0" xfId="0" applyFont="1"/>
    <xf numFmtId="183" fontId="6" fillId="0" borderId="0" xfId="246" applyNumberFormat="1" applyFont="1" applyAlignment="1">
      <alignment vertical="center"/>
    </xf>
    <xf numFmtId="182" fontId="11" fillId="48" borderId="3" xfId="0" applyNumberFormat="1" applyFont="1" applyFill="1" applyBorder="1" applyAlignment="1">
      <alignment horizontal="right" vertical="center"/>
    </xf>
    <xf numFmtId="181" fontId="11" fillId="35" borderId="3" xfId="0" applyNumberFormat="1" applyFont="1" applyFill="1" applyBorder="1" applyAlignment="1" applyProtection="1">
      <alignment horizontal="right" vertical="center"/>
      <protection locked="0"/>
    </xf>
    <xf numFmtId="182" fontId="5" fillId="35" borderId="3" xfId="0" applyNumberFormat="1" applyFont="1" applyFill="1" applyBorder="1" applyAlignment="1">
      <alignment horizontal="right" vertical="center"/>
    </xf>
    <xf numFmtId="182" fontId="5" fillId="35" borderId="3" xfId="0" applyNumberFormat="1" applyFont="1" applyFill="1" applyBorder="1" applyAlignment="1" applyProtection="1">
      <alignment horizontal="right" vertical="center"/>
      <protection locked="0"/>
    </xf>
    <xf numFmtId="190" fontId="5" fillId="35" borderId="3" xfId="0" applyNumberFormat="1" applyFont="1" applyFill="1" applyBorder="1" applyAlignment="1" applyProtection="1">
      <alignment horizontal="right" vertical="center"/>
      <protection locked="0"/>
    </xf>
    <xf numFmtId="181" fontId="6" fillId="35" borderId="3" xfId="0" applyNumberFormat="1" applyFont="1" applyFill="1" applyBorder="1" applyAlignment="1">
      <alignment horizontal="center" vertical="center" wrapText="1"/>
    </xf>
    <xf numFmtId="4" fontId="13" fillId="0" borderId="95" xfId="220" applyNumberFormat="1" applyFont="1" applyBorder="1" applyAlignment="1">
      <alignment horizontal="center" vertical="center"/>
    </xf>
    <xf numFmtId="4" fontId="107" fillId="0" borderId="75" xfId="220" applyNumberFormat="1" applyFont="1" applyBorder="1" applyAlignment="1">
      <alignment horizontal="center" vertical="center"/>
    </xf>
    <xf numFmtId="0" fontId="13" fillId="0" borderId="95" xfId="220" applyFont="1" applyBorder="1" applyAlignment="1">
      <alignment vertical="center" wrapText="1"/>
    </xf>
    <xf numFmtId="4" fontId="105" fillId="0" borderId="96" xfId="220" applyNumberFormat="1" applyFont="1" applyBorder="1" applyAlignment="1">
      <alignment horizontal="center" vertical="center"/>
    </xf>
    <xf numFmtId="0" fontId="13" fillId="0" borderId="98" xfId="220" applyFont="1" applyBorder="1" applyAlignment="1">
      <alignment horizontal="center" vertical="center" wrapText="1"/>
    </xf>
    <xf numFmtId="4" fontId="13" fillId="0" borderId="28" xfId="220" applyNumberFormat="1" applyFont="1" applyBorder="1" applyAlignment="1">
      <alignment horizontal="center" vertical="center"/>
    </xf>
    <xf numFmtId="4" fontId="107" fillId="0" borderId="28" xfId="220" applyNumberFormat="1" applyFont="1" applyBorder="1" applyAlignment="1">
      <alignment horizontal="center" vertical="center"/>
    </xf>
    <xf numFmtId="4" fontId="107" fillId="0" borderId="99" xfId="220" applyNumberFormat="1" applyFont="1" applyBorder="1" applyAlignment="1">
      <alignment horizontal="center" vertical="center"/>
    </xf>
    <xf numFmtId="0" fontId="13" fillId="0" borderId="3" xfId="220" applyFont="1" applyBorder="1" applyAlignment="1">
      <alignment horizontal="center" vertical="center" wrapText="1"/>
    </xf>
    <xf numFmtId="0" fontId="13" fillId="0" borderId="98" xfId="220" applyFont="1" applyBorder="1" applyAlignment="1">
      <alignment vertical="center" wrapText="1"/>
    </xf>
    <xf numFmtId="0" fontId="13" fillId="0" borderId="28" xfId="220" applyFont="1" applyBorder="1" applyAlignment="1">
      <alignment horizontal="center" vertical="center" wrapText="1"/>
    </xf>
    <xf numFmtId="4" fontId="105" fillId="0" borderId="99" xfId="220" applyNumberFormat="1" applyFont="1" applyBorder="1" applyAlignment="1">
      <alignment horizontal="center" vertical="center"/>
    </xf>
    <xf numFmtId="4" fontId="105" fillId="0" borderId="21" xfId="220" applyNumberFormat="1" applyFont="1" applyBorder="1" applyAlignment="1">
      <alignment horizontal="center" vertical="center"/>
    </xf>
    <xf numFmtId="4" fontId="13" fillId="0" borderId="86" xfId="220" applyNumberFormat="1" applyFont="1" applyBorder="1" applyAlignment="1">
      <alignment horizontal="center" vertical="center"/>
    </xf>
    <xf numFmtId="0" fontId="13" fillId="0" borderId="28" xfId="220" applyFont="1" applyBorder="1" applyAlignment="1">
      <alignment vertical="center" wrapText="1"/>
    </xf>
    <xf numFmtId="0" fontId="13" fillId="0" borderId="21" xfId="220" applyFont="1" applyBorder="1" applyAlignment="1">
      <alignment vertical="center" wrapText="1"/>
    </xf>
    <xf numFmtId="0" fontId="13" fillId="0" borderId="21" xfId="220" applyFont="1" applyBorder="1" applyAlignment="1">
      <alignment horizontal="center" vertical="center" wrapText="1"/>
    </xf>
    <xf numFmtId="4" fontId="13" fillId="0" borderId="21" xfId="220" applyNumberFormat="1" applyFont="1" applyBorder="1" applyAlignment="1">
      <alignment horizontal="center" vertical="center"/>
    </xf>
    <xf numFmtId="0" fontId="113" fillId="0" borderId="3" xfId="0" applyFont="1" applyBorder="1" applyAlignment="1">
      <alignment horizontal="left" vertical="center" wrapText="1"/>
    </xf>
    <xf numFmtId="0" fontId="111" fillId="0" borderId="3" xfId="0" applyFont="1" applyBorder="1" applyAlignment="1">
      <alignment horizontal="center" vertical="center" wrapText="1"/>
    </xf>
    <xf numFmtId="181" fontId="103" fillId="35" borderId="3" xfId="0" applyNumberFormat="1" applyFont="1" applyFill="1" applyBorder="1" applyAlignment="1">
      <alignment horizontal="center" vertical="center" wrapText="1"/>
    </xf>
    <xf numFmtId="181" fontId="103" fillId="0" borderId="3" xfId="0" applyNumberFormat="1" applyFont="1" applyBorder="1" applyAlignment="1">
      <alignment horizontal="center" vertical="center" wrapText="1"/>
    </xf>
    <xf numFmtId="0" fontId="71" fillId="33" borderId="3" xfId="0" applyFont="1" applyFill="1" applyBorder="1" applyAlignment="1">
      <alignment horizontal="left" vertical="center" wrapText="1"/>
    </xf>
    <xf numFmtId="181" fontId="110" fillId="29" borderId="3" xfId="0" applyNumberFormat="1" applyFont="1" applyFill="1" applyBorder="1" applyAlignment="1">
      <alignment horizontal="center" vertical="center" wrapText="1"/>
    </xf>
    <xf numFmtId="187" fontId="110" fillId="0" borderId="3" xfId="0" applyNumberFormat="1" applyFont="1" applyBorder="1" applyAlignment="1">
      <alignment horizontal="center" vertical="center" wrapText="1"/>
    </xf>
    <xf numFmtId="181" fontId="110" fillId="0" borderId="3" xfId="0" applyNumberFormat="1" applyFont="1" applyBorder="1" applyAlignment="1">
      <alignment horizontal="center" vertical="center" wrapText="1"/>
    </xf>
    <xf numFmtId="4" fontId="90" fillId="36" borderId="66" xfId="220" applyNumberFormat="1" applyFont="1" applyFill="1" applyBorder="1" applyAlignment="1">
      <alignment horizontal="center" vertical="center"/>
    </xf>
    <xf numFmtId="0" fontId="13" fillId="0" borderId="3" xfId="220" applyFont="1" applyBorder="1" applyAlignment="1">
      <alignment vertical="center" wrapText="1"/>
    </xf>
    <xf numFmtId="191" fontId="13" fillId="0" borderId="3" xfId="220" applyNumberFormat="1" applyFont="1" applyBorder="1" applyAlignment="1">
      <alignment horizontal="center" vertical="center"/>
    </xf>
    <xf numFmtId="4" fontId="111" fillId="0" borderId="86" xfId="220" applyNumberFormat="1" applyFont="1" applyBorder="1" applyAlignment="1">
      <alignment horizontal="center" vertical="center"/>
    </xf>
    <xf numFmtId="183" fontId="77" fillId="0" borderId="0" xfId="246" applyNumberFormat="1" applyFont="1" applyAlignment="1">
      <alignment vertical="center"/>
    </xf>
    <xf numFmtId="183" fontId="77" fillId="0" borderId="0" xfId="246" applyNumberFormat="1" applyFont="1" applyAlignment="1">
      <alignment horizontal="center" vertical="center"/>
    </xf>
    <xf numFmtId="49" fontId="107" fillId="0" borderId="75" xfId="220" applyNumberFormat="1" applyFont="1" applyBorder="1" applyAlignment="1">
      <alignment horizontal="center" vertical="center"/>
    </xf>
    <xf numFmtId="179" fontId="6" fillId="0" borderId="0" xfId="0" applyNumberFormat="1" applyFont="1" applyAlignment="1">
      <alignment vertical="center" wrapText="1"/>
    </xf>
    <xf numFmtId="170" fontId="6" fillId="0" borderId="0" xfId="0" applyNumberFormat="1" applyFont="1" applyAlignment="1">
      <alignment vertical="center" wrapText="1"/>
    </xf>
    <xf numFmtId="4" fontId="6" fillId="0" borderId="0" xfId="0" applyNumberFormat="1" applyFont="1" applyAlignment="1">
      <alignment vertical="center" wrapText="1"/>
    </xf>
    <xf numFmtId="0" fontId="103" fillId="0" borderId="0" xfId="0" applyFont="1" applyAlignment="1">
      <alignment horizontal="center" vertical="center"/>
    </xf>
    <xf numFmtId="178" fontId="103" fillId="33" borderId="14" xfId="0" applyNumberFormat="1" applyFont="1" applyFill="1" applyBorder="1" applyAlignment="1">
      <alignment vertical="center" wrapText="1"/>
    </xf>
    <xf numFmtId="0" fontId="120" fillId="0" borderId="14" xfId="0" applyFont="1" applyBorder="1" applyAlignment="1">
      <alignment vertical="center" wrapText="1"/>
    </xf>
    <xf numFmtId="0" fontId="104" fillId="0" borderId="0" xfId="0" applyFont="1" applyAlignment="1">
      <alignment vertical="center" wrapText="1"/>
    </xf>
    <xf numFmtId="0" fontId="103" fillId="0" borderId="0" xfId="0" applyFont="1" applyAlignment="1">
      <alignment horizontal="left" vertical="center" wrapText="1" shrinkToFit="1"/>
    </xf>
    <xf numFmtId="179" fontId="103" fillId="0" borderId="3" xfId="0" applyNumberFormat="1" applyFont="1" applyBorder="1" applyAlignment="1">
      <alignment horizontal="center" vertical="center" wrapText="1"/>
    </xf>
    <xf numFmtId="1" fontId="103" fillId="0" borderId="0" xfId="0" applyNumberFormat="1" applyFont="1" applyAlignment="1">
      <alignment horizontal="center" vertical="center"/>
    </xf>
    <xf numFmtId="0" fontId="104" fillId="0" borderId="0" xfId="0" applyFont="1" applyAlignment="1">
      <alignment horizontal="center" vertical="center"/>
    </xf>
    <xf numFmtId="170" fontId="103" fillId="0" borderId="0" xfId="0" applyNumberFormat="1" applyFont="1" applyAlignment="1">
      <alignment vertical="center"/>
    </xf>
    <xf numFmtId="0" fontId="105" fillId="0" borderId="3" xfId="220" applyFont="1" applyBorder="1" applyAlignment="1">
      <alignment vertical="center" wrapText="1"/>
    </xf>
    <xf numFmtId="4" fontId="13" fillId="0" borderId="87" xfId="220" applyNumberFormat="1" applyFont="1" applyBorder="1" applyAlignment="1">
      <alignment horizontal="center" vertical="center"/>
    </xf>
    <xf numFmtId="191" fontId="13" fillId="0" borderId="0" xfId="220" applyNumberFormat="1" applyFont="1" applyAlignment="1">
      <alignment horizontal="center" vertical="center"/>
    </xf>
    <xf numFmtId="49" fontId="13" fillId="0" borderId="62" xfId="220" applyNumberFormat="1" applyFont="1" applyBorder="1" applyAlignment="1">
      <alignment horizontal="center" vertical="center"/>
    </xf>
    <xf numFmtId="0" fontId="13" fillId="0" borderId="69" xfId="220" applyFont="1" applyBorder="1" applyAlignment="1">
      <alignment horizontal="center" vertical="center"/>
    </xf>
    <xf numFmtId="0" fontId="13" fillId="0" borderId="63" xfId="220" applyFont="1" applyBorder="1" applyAlignment="1">
      <alignment vertical="center"/>
    </xf>
    <xf numFmtId="191" fontId="13" fillId="0" borderId="3" xfId="220" applyNumberFormat="1" applyFont="1" applyBorder="1" applyAlignment="1">
      <alignment horizontal="center" vertical="center" wrapText="1"/>
    </xf>
    <xf numFmtId="4" fontId="13" fillId="0" borderId="84" xfId="220" applyNumberFormat="1" applyFont="1" applyBorder="1" applyAlignment="1">
      <alignment horizontal="center" vertical="center"/>
    </xf>
    <xf numFmtId="4" fontId="13" fillId="0" borderId="63" xfId="220" applyNumberFormat="1" applyFont="1" applyBorder="1" applyAlignment="1">
      <alignment horizontal="center" vertical="center"/>
    </xf>
    <xf numFmtId="49" fontId="13" fillId="0" borderId="63" xfId="220" applyNumberFormat="1" applyFont="1" applyBorder="1" applyAlignment="1">
      <alignment horizontal="center" vertical="center"/>
    </xf>
    <xf numFmtId="0" fontId="13" fillId="0" borderId="63" xfId="220" applyFont="1" applyBorder="1" applyAlignment="1">
      <alignment horizontal="center" vertical="center"/>
    </xf>
    <xf numFmtId="191" fontId="13" fillId="45" borderId="3" xfId="220" applyNumberFormat="1" applyFont="1" applyFill="1" applyBorder="1" applyAlignment="1">
      <alignment horizontal="center" vertical="center"/>
    </xf>
    <xf numFmtId="0" fontId="13" fillId="0" borderId="65" xfId="220" applyFont="1" applyBorder="1" applyAlignment="1">
      <alignment horizontal="center" vertical="center"/>
    </xf>
    <xf numFmtId="49" fontId="13" fillId="0" borderId="65" xfId="220" applyNumberFormat="1" applyFont="1" applyBorder="1" applyAlignment="1">
      <alignment horizontal="center" vertical="center"/>
    </xf>
    <xf numFmtId="4" fontId="13" fillId="0" borderId="76" xfId="220" applyNumberFormat="1" applyFont="1" applyBorder="1" applyAlignment="1">
      <alignment horizontal="center" vertical="center"/>
    </xf>
    <xf numFmtId="4" fontId="90" fillId="0" borderId="66" xfId="220" applyNumberFormat="1" applyFont="1" applyBorder="1" applyAlignment="1">
      <alignment horizontal="center" vertical="center"/>
    </xf>
    <xf numFmtId="4" fontId="90" fillId="0" borderId="66" xfId="220" applyNumberFormat="1" applyFont="1" applyBorder="1" applyAlignment="1">
      <alignment vertical="center"/>
    </xf>
    <xf numFmtId="4" fontId="90" fillId="36" borderId="74" xfId="220" applyNumberFormat="1" applyFont="1" applyFill="1" applyBorder="1" applyAlignment="1">
      <alignment horizontal="center" vertical="center"/>
    </xf>
    <xf numFmtId="0" fontId="90" fillId="0" borderId="22" xfId="220" applyFont="1" applyBorder="1" applyAlignment="1">
      <alignment horizontal="right" vertical="center" wrapText="1"/>
    </xf>
    <xf numFmtId="4" fontId="90" fillId="0" borderId="21" xfId="220" applyNumberFormat="1" applyFont="1" applyBorder="1" applyAlignment="1">
      <alignment horizontal="center" vertical="center"/>
    </xf>
    <xf numFmtId="4" fontId="90" fillId="0" borderId="23" xfId="220" applyNumberFormat="1" applyFont="1" applyBorder="1" applyAlignment="1">
      <alignment horizontal="center" vertical="center"/>
    </xf>
    <xf numFmtId="0" fontId="90" fillId="0" borderId="24" xfId="220" applyFont="1" applyBorder="1" applyAlignment="1">
      <alignment horizontal="right" vertical="center" wrapText="1"/>
    </xf>
    <xf numFmtId="4" fontId="90" fillId="0" borderId="3" xfId="220" applyNumberFormat="1" applyFont="1" applyBorder="1" applyAlignment="1">
      <alignment horizontal="center" vertical="center"/>
    </xf>
    <xf numFmtId="4" fontId="90" fillId="0" borderId="12" xfId="220" applyNumberFormat="1" applyFont="1" applyBorder="1" applyAlignment="1">
      <alignment horizontal="center" vertical="center"/>
    </xf>
    <xf numFmtId="0" fontId="90" fillId="0" borderId="31" xfId="220" applyFont="1" applyBorder="1" applyAlignment="1">
      <alignment horizontal="right" vertical="center" wrapText="1"/>
    </xf>
    <xf numFmtId="4" fontId="90" fillId="0" borderId="28" xfId="220" applyNumberFormat="1" applyFont="1" applyBorder="1" applyAlignment="1">
      <alignment horizontal="center" vertical="center"/>
    </xf>
    <xf numFmtId="4" fontId="90" fillId="0" borderId="34" xfId="220" applyNumberFormat="1" applyFont="1" applyBorder="1" applyAlignment="1">
      <alignment horizontal="center" vertical="center"/>
    </xf>
    <xf numFmtId="4" fontId="105" fillId="0" borderId="14" xfId="220" applyNumberFormat="1" applyFont="1" applyBorder="1" applyAlignment="1">
      <alignment horizontal="center" vertical="center"/>
    </xf>
    <xf numFmtId="4" fontId="107" fillId="0" borderId="17" xfId="220" applyNumberFormat="1" applyFont="1" applyBorder="1" applyAlignment="1">
      <alignment horizontal="center" vertical="center"/>
    </xf>
    <xf numFmtId="4" fontId="105" fillId="0" borderId="17" xfId="220" applyNumberFormat="1" applyFont="1" applyBorder="1" applyAlignment="1">
      <alignment horizontal="center" vertical="center"/>
    </xf>
    <xf numFmtId="4" fontId="114" fillId="0" borderId="0" xfId="220" applyNumberFormat="1" applyFont="1" applyAlignment="1">
      <alignment horizontal="center" vertical="center"/>
    </xf>
    <xf numFmtId="178" fontId="6" fillId="35" borderId="3" xfId="0" applyNumberFormat="1" applyFont="1" applyFill="1" applyBorder="1" applyAlignment="1">
      <alignment horizontal="center" vertical="center" wrapText="1"/>
    </xf>
    <xf numFmtId="0" fontId="105" fillId="0" borderId="91" xfId="220" applyFont="1" applyBorder="1" applyAlignment="1">
      <alignment vertical="center"/>
    </xf>
    <xf numFmtId="0" fontId="105" fillId="0" borderId="84" xfId="220" applyFont="1" applyBorder="1" applyAlignment="1">
      <alignment vertical="center"/>
    </xf>
    <xf numFmtId="0" fontId="105" fillId="0" borderId="99" xfId="220" applyFont="1" applyBorder="1" applyAlignment="1">
      <alignment vertical="center"/>
    </xf>
    <xf numFmtId="183" fontId="103" fillId="0" borderId="0" xfId="0" applyNumberFormat="1" applyFont="1" applyAlignment="1">
      <alignment vertical="center" wrapText="1"/>
    </xf>
    <xf numFmtId="179" fontId="103" fillId="0" borderId="0" xfId="0" applyNumberFormat="1" applyFont="1" applyAlignment="1">
      <alignment vertical="center" wrapText="1"/>
    </xf>
    <xf numFmtId="0" fontId="5" fillId="0" borderId="0" xfId="0" applyFont="1" applyAlignment="1">
      <alignment horizontal="center" vertical="center" wrapText="1"/>
    </xf>
    <xf numFmtId="178" fontId="6" fillId="33" borderId="14" xfId="0" applyNumberFormat="1" applyFont="1" applyFill="1" applyBorder="1" applyAlignment="1">
      <alignment vertical="center" wrapText="1"/>
    </xf>
    <xf numFmtId="179" fontId="6" fillId="0" borderId="3" xfId="0" applyNumberFormat="1" applyFont="1" applyBorder="1" applyAlignment="1">
      <alignment horizontal="center" vertical="center" wrapText="1"/>
    </xf>
    <xf numFmtId="170" fontId="5" fillId="0" borderId="3" xfId="0" applyNumberFormat="1" applyFont="1" applyBorder="1" applyAlignment="1">
      <alignment horizontal="center" vertical="center" wrapText="1"/>
    </xf>
    <xf numFmtId="182" fontId="5" fillId="35" borderId="3" xfId="0" applyNumberFormat="1" applyFont="1" applyFill="1" applyBorder="1" applyAlignment="1" applyProtection="1">
      <alignment horizontal="center" vertical="center" wrapText="1"/>
      <protection locked="0"/>
    </xf>
    <xf numFmtId="170" fontId="11" fillId="0" borderId="3" xfId="0" applyNumberFormat="1" applyFont="1" applyBorder="1" applyAlignment="1">
      <alignment horizontal="center" vertical="center" wrapText="1"/>
    </xf>
    <xf numFmtId="174" fontId="72" fillId="0" borderId="3" xfId="0" applyNumberFormat="1" applyFont="1" applyBorder="1" applyAlignment="1">
      <alignment horizontal="center" vertical="center" wrapText="1"/>
    </xf>
    <xf numFmtId="181" fontId="7" fillId="29" borderId="3" xfId="0" applyNumberFormat="1" applyFont="1" applyFill="1" applyBorder="1" applyAlignment="1">
      <alignment horizontal="center" vertical="center" wrapText="1"/>
    </xf>
    <xf numFmtId="173" fontId="11" fillId="0" borderId="3" xfId="0" applyNumberFormat="1" applyFont="1" applyBorder="1" applyAlignment="1">
      <alignment horizontal="center" vertical="center" wrapText="1"/>
    </xf>
    <xf numFmtId="170" fontId="6" fillId="0" borderId="0" xfId="0" applyNumberFormat="1" applyFont="1" applyAlignment="1">
      <alignment horizontal="center" vertical="center" wrapText="1"/>
    </xf>
    <xf numFmtId="170" fontId="5" fillId="35" borderId="3" xfId="0" applyNumberFormat="1" applyFont="1" applyFill="1" applyBorder="1" applyAlignment="1">
      <alignment horizontal="center" vertical="center" wrapText="1"/>
    </xf>
    <xf numFmtId="170" fontId="6" fillId="35" borderId="3" xfId="0" applyNumberFormat="1" applyFont="1" applyFill="1" applyBorder="1" applyAlignment="1">
      <alignment horizontal="center" vertical="center" wrapText="1"/>
    </xf>
    <xf numFmtId="178" fontId="9" fillId="0" borderId="3" xfId="0" applyNumberFormat="1" applyFont="1" applyBorder="1" applyAlignment="1">
      <alignment horizontal="center" vertical="center" wrapText="1"/>
    </xf>
    <xf numFmtId="178" fontId="11" fillId="0" borderId="3" xfId="0" applyNumberFormat="1" applyFont="1" applyBorder="1" applyAlignment="1">
      <alignment vertical="center" wrapText="1"/>
    </xf>
    <xf numFmtId="178" fontId="7" fillId="0" borderId="3" xfId="0" applyNumberFormat="1" applyFont="1" applyBorder="1" applyAlignment="1">
      <alignment horizontal="center" vertical="center" wrapText="1"/>
    </xf>
    <xf numFmtId="179" fontId="6" fillId="33" borderId="3" xfId="0" applyNumberFormat="1" applyFont="1" applyFill="1" applyBorder="1" applyAlignment="1">
      <alignment vertical="center" wrapText="1"/>
    </xf>
    <xf numFmtId="174" fontId="6" fillId="33" borderId="14" xfId="0" applyNumberFormat="1" applyFont="1" applyFill="1" applyBorder="1" applyAlignment="1">
      <alignment vertical="center" wrapText="1"/>
    </xf>
    <xf numFmtId="179" fontId="5" fillId="33" borderId="3" xfId="0" applyNumberFormat="1" applyFont="1" applyFill="1" applyBorder="1" applyAlignment="1">
      <alignment vertical="center" wrapText="1"/>
    </xf>
    <xf numFmtId="0" fontId="11" fillId="33" borderId="3" xfId="0" applyFont="1" applyFill="1" applyBorder="1" applyAlignment="1">
      <alignment vertical="center" wrapText="1"/>
    </xf>
    <xf numFmtId="173" fontId="6" fillId="29" borderId="3" xfId="0" applyNumberFormat="1" applyFont="1" applyFill="1" applyBorder="1" applyAlignment="1">
      <alignment horizontal="center" vertical="center" wrapText="1"/>
    </xf>
    <xf numFmtId="183" fontId="81" fillId="29" borderId="3" xfId="0" applyNumberFormat="1" applyFont="1" applyFill="1" applyBorder="1" applyAlignment="1">
      <alignment horizontal="center" vertical="center" wrapText="1"/>
    </xf>
    <xf numFmtId="178" fontId="10" fillId="31" borderId="3" xfId="0" applyNumberFormat="1" applyFont="1" applyFill="1" applyBorder="1" applyAlignment="1">
      <alignment horizontal="right" vertical="center"/>
    </xf>
    <xf numFmtId="178" fontId="6" fillId="0" borderId="3" xfId="0" applyNumberFormat="1" applyFont="1" applyBorder="1" applyAlignment="1" applyProtection="1">
      <alignment horizontal="right" vertical="center"/>
      <protection locked="0"/>
    </xf>
    <xf numFmtId="178" fontId="11" fillId="0" borderId="3" xfId="0" applyNumberFormat="1" applyFont="1" applyBorder="1" applyAlignment="1">
      <alignment horizontal="right" vertical="center"/>
    </xf>
    <xf numFmtId="178" fontId="6" fillId="0" borderId="3" xfId="0" applyNumberFormat="1" applyFont="1" applyBorder="1" applyAlignment="1">
      <alignment horizontal="right" vertical="center"/>
    </xf>
    <xf numFmtId="178" fontId="72" fillId="0" borderId="3" xfId="0" applyNumberFormat="1" applyFont="1" applyBorder="1" applyAlignment="1">
      <alignment horizontal="right" vertical="center"/>
    </xf>
    <xf numFmtId="0" fontId="121" fillId="0" borderId="0" xfId="246" applyFont="1" applyAlignment="1">
      <alignment vertical="center"/>
    </xf>
    <xf numFmtId="0" fontId="104" fillId="0" borderId="0" xfId="246" applyFont="1" applyAlignment="1">
      <alignment vertical="center"/>
    </xf>
    <xf numFmtId="178" fontId="6" fillId="33" borderId="14" xfId="0" applyNumberFormat="1" applyFont="1" applyFill="1" applyBorder="1" applyAlignment="1">
      <alignment horizontal="center" vertical="center" wrapText="1"/>
    </xf>
    <xf numFmtId="178" fontId="6" fillId="33" borderId="17" xfId="0" applyNumberFormat="1" applyFont="1" applyFill="1" applyBorder="1" applyAlignment="1">
      <alignment horizontal="center" vertical="center" wrapText="1"/>
    </xf>
    <xf numFmtId="170" fontId="6" fillId="33" borderId="14" xfId="0" applyNumberFormat="1" applyFont="1" applyFill="1" applyBorder="1" applyAlignment="1">
      <alignment horizontal="center" vertical="center" wrapText="1"/>
    </xf>
    <xf numFmtId="170" fontId="6" fillId="33" borderId="17" xfId="0" applyNumberFormat="1" applyFont="1" applyFill="1" applyBorder="1" applyAlignment="1">
      <alignment horizontal="center" vertical="center" wrapText="1"/>
    </xf>
    <xf numFmtId="170" fontId="6" fillId="33" borderId="15" xfId="0" applyNumberFormat="1" applyFont="1" applyFill="1" applyBorder="1" applyAlignment="1">
      <alignment horizontal="center" vertical="center" wrapText="1"/>
    </xf>
    <xf numFmtId="178" fontId="6" fillId="33" borderId="15" xfId="0" applyNumberFormat="1" applyFont="1" applyFill="1" applyBorder="1" applyAlignment="1">
      <alignment horizontal="center" vertical="center" wrapText="1"/>
    </xf>
    <xf numFmtId="3" fontId="6" fillId="0" borderId="28" xfId="0" applyNumberFormat="1" applyFont="1" applyBorder="1" applyAlignment="1">
      <alignment horizontal="center" vertical="center" wrapText="1"/>
    </xf>
    <xf numFmtId="49" fontId="11" fillId="0" borderId="14" xfId="0" applyNumberFormat="1" applyFont="1" applyBorder="1" applyAlignment="1">
      <alignment horizontal="left" vertical="center" wrapText="1"/>
    </xf>
    <xf numFmtId="0" fontId="77" fillId="0" borderId="14" xfId="0" applyFont="1" applyBorder="1" applyAlignment="1">
      <alignment horizontal="center" vertical="center" wrapText="1"/>
    </xf>
    <xf numFmtId="0" fontId="77" fillId="0" borderId="14" xfId="0" applyFont="1" applyBorder="1" applyAlignment="1">
      <alignment vertical="top" wrapText="1"/>
    </xf>
    <xf numFmtId="49" fontId="77" fillId="0" borderId="14" xfId="0" applyNumberFormat="1" applyFont="1" applyBorder="1" applyAlignment="1">
      <alignment horizontal="left" vertical="center" wrapText="1"/>
    </xf>
    <xf numFmtId="49" fontId="101" fillId="0" borderId="14" xfId="0" applyNumberFormat="1" applyFont="1" applyBorder="1" applyAlignment="1">
      <alignment horizontal="left" vertical="center" wrapText="1"/>
    </xf>
    <xf numFmtId="0" fontId="103" fillId="0" borderId="14" xfId="0" applyFont="1" applyBorder="1" applyAlignment="1">
      <alignment wrapText="1"/>
    </xf>
    <xf numFmtId="0" fontId="103" fillId="0" borderId="14" xfId="0" applyFont="1" applyBorder="1" applyAlignment="1">
      <alignment vertical="center" wrapText="1"/>
    </xf>
    <xf numFmtId="0" fontId="71" fillId="0" borderId="14" xfId="0" applyFont="1" applyBorder="1" applyAlignment="1">
      <alignment horizontal="left" wrapText="1"/>
    </xf>
    <xf numFmtId="0" fontId="98" fillId="0" borderId="14" xfId="0" applyFont="1" applyBorder="1" applyAlignment="1">
      <alignment wrapText="1"/>
    </xf>
    <xf numFmtId="0" fontId="113" fillId="0" borderId="14" xfId="0" applyFont="1" applyBorder="1" applyAlignment="1">
      <alignment vertical="center" wrapText="1"/>
    </xf>
    <xf numFmtId="0" fontId="88" fillId="0" borderId="14" xfId="0" applyFont="1" applyBorder="1" applyAlignment="1">
      <alignment wrapText="1"/>
    </xf>
    <xf numFmtId="0" fontId="120" fillId="0" borderId="14" xfId="0" applyFont="1" applyBorder="1" applyAlignment="1">
      <alignment wrapText="1"/>
    </xf>
    <xf numFmtId="49" fontId="6" fillId="0" borderId="14" xfId="0" applyNumberFormat="1" applyFont="1" applyBorder="1" applyAlignment="1">
      <alignment horizontal="left" vertical="center" wrapText="1"/>
    </xf>
    <xf numFmtId="0" fontId="113" fillId="0" borderId="14" xfId="0" applyFont="1" applyBorder="1" applyAlignment="1">
      <alignment horizontal="center" vertical="center" wrapText="1"/>
    </xf>
    <xf numFmtId="0" fontId="111" fillId="0" borderId="14" xfId="0" applyFont="1" applyBorder="1" applyAlignment="1">
      <alignment vertical="center" wrapText="1"/>
    </xf>
    <xf numFmtId="49" fontId="86" fillId="0" borderId="14" xfId="0" applyNumberFormat="1" applyFont="1" applyBorder="1" applyAlignment="1">
      <alignment horizontal="left" vertical="center" wrapText="1"/>
    </xf>
    <xf numFmtId="49" fontId="103" fillId="0" borderId="14" xfId="0" applyNumberFormat="1" applyFont="1" applyBorder="1" applyAlignment="1">
      <alignment horizontal="left" vertical="center" wrapText="1"/>
    </xf>
    <xf numFmtId="0" fontId="77" fillId="33" borderId="14" xfId="0" applyFont="1" applyFill="1" applyBorder="1" applyAlignment="1">
      <alignment horizontal="left" vertical="center" wrapText="1"/>
    </xf>
    <xf numFmtId="49" fontId="87" fillId="0" borderId="14" xfId="0" applyNumberFormat="1" applyFont="1" applyBorder="1" applyAlignment="1">
      <alignment horizontal="left" vertical="center" wrapText="1"/>
    </xf>
    <xf numFmtId="49" fontId="74" fillId="0" borderId="14" xfId="0" applyNumberFormat="1" applyFont="1" applyBorder="1" applyAlignment="1">
      <alignment horizontal="left" vertical="center" wrapText="1"/>
    </xf>
    <xf numFmtId="49" fontId="122" fillId="0" borderId="14" xfId="0" applyNumberFormat="1" applyFont="1" applyBorder="1" applyAlignment="1">
      <alignment horizontal="left" vertical="center" wrapText="1"/>
    </xf>
    <xf numFmtId="49" fontId="13" fillId="0" borderId="14" xfId="0" applyNumberFormat="1" applyFont="1" applyBorder="1" applyAlignment="1">
      <alignment horizontal="left" vertical="center" wrapText="1"/>
    </xf>
    <xf numFmtId="49" fontId="121" fillId="0" borderId="14" xfId="0" applyNumberFormat="1" applyFont="1" applyBorder="1" applyAlignment="1">
      <alignment horizontal="left" vertical="center" wrapText="1"/>
    </xf>
    <xf numFmtId="49" fontId="86" fillId="27" borderId="14" xfId="0" applyNumberFormat="1" applyFont="1" applyFill="1" applyBorder="1" applyAlignment="1">
      <alignment horizontal="left" vertical="center" wrapText="1"/>
    </xf>
    <xf numFmtId="0" fontId="123" fillId="0" borderId="0" xfId="0" applyFont="1" applyBorder="1" applyAlignment="1">
      <alignment horizontal="center" vertical="center" wrapText="1"/>
    </xf>
    <xf numFmtId="0" fontId="124" fillId="0" borderId="0" xfId="0" applyFont="1" applyBorder="1" applyAlignment="1">
      <alignment vertical="center"/>
    </xf>
    <xf numFmtId="0" fontId="125" fillId="0" borderId="0" xfId="0" applyFont="1" applyBorder="1" applyAlignment="1">
      <alignment horizontal="center" vertical="center" wrapText="1"/>
    </xf>
    <xf numFmtId="49" fontId="124" fillId="0" borderId="0" xfId="0" applyNumberFormat="1" applyFont="1" applyBorder="1" applyAlignment="1">
      <alignment horizontal="left" vertical="center" wrapText="1"/>
    </xf>
    <xf numFmtId="43" fontId="126" fillId="0" borderId="0" xfId="0" applyNumberFormat="1" applyFont="1" applyBorder="1" applyAlignment="1">
      <alignment vertical="center"/>
    </xf>
    <xf numFmtId="0" fontId="126" fillId="0" borderId="0" xfId="0" applyFont="1" applyBorder="1" applyAlignment="1">
      <alignment vertical="center"/>
    </xf>
    <xf numFmtId="0" fontId="125" fillId="0" borderId="0" xfId="0" applyFont="1" applyBorder="1" applyAlignment="1">
      <alignment horizontal="center" vertical="top" wrapText="1"/>
    </xf>
    <xf numFmtId="43" fontId="127" fillId="0" borderId="0" xfId="0" applyNumberFormat="1" applyFont="1" applyBorder="1" applyAlignment="1">
      <alignment vertical="top" wrapText="1"/>
    </xf>
    <xf numFmtId="0" fontId="125" fillId="0" borderId="0" xfId="0" applyFont="1" applyBorder="1" applyAlignment="1">
      <alignment vertical="top" wrapText="1"/>
    </xf>
    <xf numFmtId="170" fontId="126" fillId="0" borderId="0" xfId="0" applyNumberFormat="1" applyFont="1" applyBorder="1" applyAlignment="1">
      <alignment vertical="center"/>
    </xf>
    <xf numFmtId="49" fontId="125" fillId="0" borderId="0" xfId="0" applyNumberFormat="1" applyFont="1" applyBorder="1" applyAlignment="1">
      <alignment horizontal="left" vertical="center" wrapText="1"/>
    </xf>
    <xf numFmtId="181" fontId="124" fillId="0" borderId="0" xfId="0" applyNumberFormat="1" applyFont="1" applyBorder="1" applyAlignment="1">
      <alignment vertical="center"/>
    </xf>
    <xf numFmtId="183" fontId="124" fillId="0" borderId="0" xfId="0" applyNumberFormat="1" applyFont="1" applyBorder="1" applyAlignment="1">
      <alignment vertical="center"/>
    </xf>
    <xf numFmtId="0" fontId="124" fillId="0" borderId="0" xfId="0" applyFont="1" applyBorder="1" applyAlignment="1">
      <alignment wrapText="1"/>
    </xf>
    <xf numFmtId="0" fontId="124" fillId="0" borderId="0" xfId="0" applyFont="1" applyBorder="1" applyAlignment="1">
      <alignment vertical="center" wrapText="1"/>
    </xf>
    <xf numFmtId="178" fontId="124" fillId="0" borderId="0" xfId="0" applyNumberFormat="1" applyFont="1" applyBorder="1" applyAlignment="1">
      <alignment vertical="center"/>
    </xf>
    <xf numFmtId="0" fontId="128" fillId="0" borderId="0" xfId="0" applyFont="1" applyBorder="1" applyAlignment="1">
      <alignment wrapText="1"/>
    </xf>
    <xf numFmtId="170" fontId="124" fillId="0" borderId="0" xfId="0" applyNumberFormat="1" applyFont="1" applyBorder="1" applyAlignment="1">
      <alignment vertical="center"/>
    </xf>
    <xf numFmtId="4" fontId="124" fillId="0" borderId="0" xfId="0" applyNumberFormat="1" applyFont="1" applyBorder="1" applyAlignment="1">
      <alignment vertical="center"/>
    </xf>
    <xf numFmtId="0" fontId="129" fillId="0" borderId="0" xfId="0" applyFont="1" applyBorder="1" applyAlignment="1">
      <alignment wrapText="1"/>
    </xf>
    <xf numFmtId="0" fontId="127" fillId="0" borderId="0" xfId="0" applyFont="1" applyBorder="1" applyAlignment="1">
      <alignment vertical="center" wrapText="1"/>
    </xf>
    <xf numFmtId="0" fontId="130" fillId="0" borderId="0" xfId="0" applyFont="1" applyBorder="1" applyAlignment="1">
      <alignment wrapText="1"/>
    </xf>
    <xf numFmtId="0" fontId="127" fillId="0" borderId="0" xfId="0" applyFont="1" applyBorder="1" applyAlignment="1">
      <alignment horizontal="center" vertical="center" wrapText="1"/>
    </xf>
    <xf numFmtId="0" fontId="123" fillId="0" borderId="0" xfId="0" applyFont="1" applyBorder="1" applyAlignment="1">
      <alignment vertical="center" wrapText="1"/>
    </xf>
    <xf numFmtId="0" fontId="125" fillId="0" borderId="0" xfId="0" applyFont="1" applyBorder="1" applyAlignment="1">
      <alignment vertical="center" wrapText="1"/>
    </xf>
    <xf numFmtId="49" fontId="131" fillId="0" borderId="0" xfId="0" applyNumberFormat="1" applyFont="1" applyBorder="1" applyAlignment="1">
      <alignment horizontal="left" vertical="center" wrapText="1"/>
    </xf>
    <xf numFmtId="0" fontId="125" fillId="33" borderId="0" xfId="0" applyFont="1" applyFill="1" applyBorder="1" applyAlignment="1">
      <alignment horizontal="left" vertical="center" wrapText="1"/>
    </xf>
    <xf numFmtId="2" fontId="124" fillId="0" borderId="0" xfId="0" applyNumberFormat="1" applyFont="1" applyBorder="1" applyAlignment="1">
      <alignment vertical="center"/>
    </xf>
    <xf numFmtId="49" fontId="130" fillId="0" borderId="0" xfId="0" applyNumberFormat="1" applyFont="1" applyBorder="1" applyAlignment="1">
      <alignment horizontal="left" vertical="center" wrapText="1"/>
    </xf>
    <xf numFmtId="49" fontId="132" fillId="0" borderId="0" xfId="0" applyNumberFormat="1" applyFont="1" applyBorder="1" applyAlignment="1">
      <alignment horizontal="left" vertical="center" wrapText="1"/>
    </xf>
    <xf numFmtId="0" fontId="130" fillId="0" borderId="0" xfId="0" applyFont="1" applyBorder="1" applyAlignment="1">
      <alignment vertical="center" wrapText="1"/>
    </xf>
    <xf numFmtId="0" fontId="125" fillId="39" borderId="0" xfId="0" applyFont="1" applyFill="1" applyBorder="1" applyAlignment="1">
      <alignment vertical="top" wrapText="1"/>
    </xf>
    <xf numFmtId="0" fontId="124" fillId="0" borderId="0" xfId="0" applyFont="1" applyBorder="1" applyAlignment="1">
      <alignment horizontal="center" vertical="center"/>
    </xf>
    <xf numFmtId="0" fontId="133" fillId="0" borderId="0" xfId="0" applyFont="1" applyBorder="1" applyAlignment="1">
      <alignment horizontal="left" vertical="center" wrapText="1"/>
    </xf>
    <xf numFmtId="49" fontId="131" fillId="27" borderId="0" xfId="0" applyNumberFormat="1" applyFont="1" applyFill="1" applyBorder="1" applyAlignment="1">
      <alignment horizontal="left" vertical="center" wrapText="1"/>
    </xf>
    <xf numFmtId="0" fontId="125" fillId="0" borderId="0" xfId="0" applyFont="1" applyBorder="1" applyAlignment="1">
      <alignment vertical="center"/>
    </xf>
    <xf numFmtId="0" fontId="123" fillId="0" borderId="0" xfId="0" applyFont="1" applyBorder="1" applyAlignment="1">
      <alignment vertical="center"/>
    </xf>
    <xf numFmtId="0" fontId="134" fillId="0" borderId="0" xfId="0" applyFont="1" applyBorder="1" applyAlignment="1">
      <alignment horizontal="left" vertical="center" wrapText="1"/>
    </xf>
    <xf numFmtId="169" fontId="126" fillId="0" borderId="0" xfId="0" applyNumberFormat="1" applyFont="1" applyBorder="1" applyAlignment="1">
      <alignment vertical="center"/>
    </xf>
    <xf numFmtId="178" fontId="126" fillId="0" borderId="0" xfId="0" applyNumberFormat="1" applyFont="1" applyBorder="1" applyAlignment="1">
      <alignment vertical="center"/>
    </xf>
    <xf numFmtId="49" fontId="127" fillId="0" borderId="0" xfId="0" applyNumberFormat="1" applyFont="1" applyBorder="1" applyAlignment="1">
      <alignment horizontal="left" vertical="center" wrapText="1"/>
    </xf>
    <xf numFmtId="0" fontId="6" fillId="0" borderId="15"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0" xfId="0" applyFont="1" applyAlignment="1">
      <alignment horizontal="left" vertical="center"/>
    </xf>
    <xf numFmtId="0" fontId="6" fillId="0" borderId="0" xfId="0" applyFont="1" applyAlignment="1">
      <alignment horizontal="left" wrapText="1"/>
    </xf>
    <xf numFmtId="0" fontId="6" fillId="0" borderId="15" xfId="0" applyFont="1" applyBorder="1" applyAlignment="1">
      <alignment horizontal="left" vertical="center" wrapText="1"/>
    </xf>
    <xf numFmtId="0" fontId="0" fillId="0" borderId="15" xfId="0" applyBorder="1" applyAlignment="1">
      <alignment horizontal="left" vertical="center" wrapText="1"/>
    </xf>
    <xf numFmtId="0" fontId="11" fillId="0" borderId="0" xfId="0" applyFont="1" applyAlignment="1">
      <alignment horizontal="left" vertical="center" wrapText="1"/>
    </xf>
    <xf numFmtId="0" fontId="6" fillId="0" borderId="14" xfId="0" applyFont="1" applyBorder="1" applyAlignment="1">
      <alignment horizontal="center" vertical="center" wrapText="1"/>
    </xf>
    <xf numFmtId="0" fontId="13" fillId="0" borderId="0" xfId="0" applyFont="1" applyAlignment="1">
      <alignment horizontal="left" vertical="center"/>
    </xf>
    <xf numFmtId="0" fontId="6" fillId="0" borderId="0" xfId="0" applyFont="1" applyAlignment="1">
      <alignment horizontal="center" vertical="center"/>
    </xf>
    <xf numFmtId="0" fontId="5" fillId="0" borderId="14" xfId="0" applyFont="1" applyBorder="1" applyAlignment="1">
      <alignment horizontal="center" vertical="center"/>
    </xf>
    <xf numFmtId="0" fontId="6" fillId="0" borderId="15" xfId="0" applyFont="1" applyBorder="1" applyAlignment="1">
      <alignment horizontal="center" vertical="center"/>
    </xf>
    <xf numFmtId="0" fontId="6" fillId="0" borderId="17" xfId="0" applyFont="1" applyBorder="1" applyAlignment="1">
      <alignment horizontal="center" vertical="center"/>
    </xf>
    <xf numFmtId="170" fontId="5" fillId="0" borderId="13" xfId="0" applyNumberFormat="1" applyFont="1" applyBorder="1" applyAlignment="1">
      <alignment horizontal="center" wrapText="1"/>
    </xf>
    <xf numFmtId="170" fontId="5" fillId="0" borderId="13" xfId="0" quotePrefix="1" applyNumberFormat="1" applyFont="1" applyBorder="1" applyAlignment="1">
      <alignment horizontal="center" wrapText="1"/>
    </xf>
    <xf numFmtId="0" fontId="82" fillId="0" borderId="0" xfId="0" applyFont="1" applyAlignment="1">
      <alignment horizontal="center" vertical="center"/>
    </xf>
    <xf numFmtId="0" fontId="5" fillId="0" borderId="0" xfId="0" applyFont="1" applyAlignment="1">
      <alignment horizontal="center" vertical="center"/>
    </xf>
    <xf numFmtId="0" fontId="5" fillId="0" borderId="14" xfId="0" applyFont="1" applyBorder="1" applyAlignment="1" applyProtection="1">
      <alignment horizontal="center"/>
      <protection locked="0"/>
    </xf>
    <xf numFmtId="0" fontId="5" fillId="0" borderId="15" xfId="0" applyFont="1" applyBorder="1" applyAlignment="1" applyProtection="1">
      <alignment horizontal="center"/>
      <protection locked="0"/>
    </xf>
    <xf numFmtId="0" fontId="13" fillId="0" borderId="0" xfId="0" applyFont="1" applyAlignment="1">
      <alignment horizontal="center" vertical="center"/>
    </xf>
    <xf numFmtId="0" fontId="6" fillId="0" borderId="3" xfId="0" applyFont="1" applyBorder="1" applyAlignment="1">
      <alignment horizontal="center" vertical="center"/>
    </xf>
    <xf numFmtId="0" fontId="11" fillId="0" borderId="3" xfId="0" applyFont="1" applyBorder="1" applyAlignment="1">
      <alignment horizontal="center" vertical="center" wrapText="1"/>
    </xf>
    <xf numFmtId="0" fontId="6" fillId="0" borderId="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17"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21" xfId="0" applyFont="1" applyBorder="1" applyAlignment="1">
      <alignment horizontal="center" vertical="center" wrapText="1"/>
    </xf>
    <xf numFmtId="0" fontId="5" fillId="0" borderId="3" xfId="0" applyFont="1" applyBorder="1" applyAlignment="1">
      <alignment horizontal="center" vertical="center"/>
    </xf>
    <xf numFmtId="0" fontId="5" fillId="0" borderId="15" xfId="238" applyFont="1" applyBorder="1" applyAlignment="1">
      <alignment horizontal="center" vertical="center" wrapText="1"/>
    </xf>
    <xf numFmtId="0" fontId="5" fillId="0" borderId="15" xfId="0" applyFont="1" applyBorder="1" applyAlignment="1">
      <alignment horizontal="center" vertical="center"/>
    </xf>
    <xf numFmtId="0" fontId="6" fillId="0" borderId="28" xfId="0" applyFont="1" applyBorder="1" applyAlignment="1">
      <alignment horizontal="center" vertical="center" wrapText="1" shrinkToFit="1"/>
    </xf>
    <xf numFmtId="0" fontId="6" fillId="0" borderId="21" xfId="0" applyFont="1" applyBorder="1" applyAlignment="1">
      <alignment horizontal="center" vertical="center" wrapText="1" shrinkToFit="1"/>
    </xf>
    <xf numFmtId="0" fontId="6" fillId="0" borderId="0" xfId="0" applyFont="1" applyAlignment="1">
      <alignment horizontal="center"/>
    </xf>
    <xf numFmtId="0" fontId="6" fillId="0" borderId="3" xfId="0" applyFont="1" applyBorder="1" applyAlignment="1">
      <alignment horizontal="center" vertical="center" wrapText="1" shrinkToFit="1"/>
    </xf>
    <xf numFmtId="0" fontId="77" fillId="0" borderId="16" xfId="0" applyFont="1" applyBorder="1" applyAlignment="1">
      <alignment horizontal="center" vertical="top" wrapText="1"/>
    </xf>
    <xf numFmtId="0" fontId="77" fillId="0" borderId="60" xfId="0" applyFont="1" applyBorder="1" applyAlignment="1">
      <alignment horizontal="center" vertical="top" wrapText="1"/>
    </xf>
    <xf numFmtId="0" fontId="127" fillId="0" borderId="0" xfId="0" applyFont="1" applyBorder="1" applyAlignment="1">
      <alignment horizontal="center" vertical="center" wrapText="1"/>
    </xf>
    <xf numFmtId="170" fontId="6" fillId="0" borderId="0" xfId="0" applyNumberFormat="1" applyFont="1" applyAlignment="1">
      <alignment horizontal="center" wrapText="1"/>
    </xf>
    <xf numFmtId="170" fontId="6" fillId="0" borderId="0" xfId="0" quotePrefix="1" applyNumberFormat="1" applyFont="1" applyAlignment="1">
      <alignment horizontal="center" wrapText="1"/>
    </xf>
    <xf numFmtId="0" fontId="5" fillId="0" borderId="0" xfId="0" applyFont="1" applyAlignment="1">
      <alignment horizontal="center" vertical="center" wrapText="1"/>
    </xf>
    <xf numFmtId="0" fontId="77" fillId="0" borderId="0" xfId="0" applyFont="1" applyAlignment="1">
      <alignment horizontal="center" vertical="center"/>
    </xf>
    <xf numFmtId="0" fontId="13" fillId="0" borderId="14" xfId="0" applyFont="1" applyBorder="1" applyAlignment="1">
      <alignment horizontal="center" vertical="center" wrapText="1"/>
    </xf>
    <xf numFmtId="0" fontId="8" fillId="0" borderId="3" xfId="0" applyFont="1" applyBorder="1" applyAlignment="1">
      <alignment horizontal="left" vertical="center" wrapText="1"/>
    </xf>
    <xf numFmtId="0" fontId="8" fillId="0" borderId="14" xfId="0" applyFont="1" applyBorder="1" applyAlignment="1">
      <alignment horizontal="left" vertical="center" wrapText="1"/>
    </xf>
    <xf numFmtId="0" fontId="13" fillId="0" borderId="3" xfId="0" applyFont="1" applyBorder="1" applyAlignment="1">
      <alignment horizontal="center" vertical="center" wrapText="1"/>
    </xf>
    <xf numFmtId="0" fontId="5" fillId="0" borderId="0" xfId="246" applyFont="1" applyAlignment="1">
      <alignment horizontal="center" vertical="center"/>
    </xf>
    <xf numFmtId="0" fontId="71" fillId="0" borderId="3" xfId="246" applyFont="1" applyBorder="1" applyAlignment="1">
      <alignment horizontal="center" vertical="center" wrapText="1"/>
    </xf>
    <xf numFmtId="0" fontId="83" fillId="0" borderId="3" xfId="246" applyFont="1" applyBorder="1" applyAlignment="1">
      <alignment horizontal="center" vertical="center" wrapText="1"/>
    </xf>
    <xf numFmtId="0" fontId="83" fillId="0" borderId="3" xfId="0" applyFont="1" applyBorder="1" applyAlignment="1">
      <alignment horizontal="center" vertical="center" wrapText="1" shrinkToFit="1"/>
    </xf>
    <xf numFmtId="0" fontId="83" fillId="0" borderId="3" xfId="0" applyFont="1" applyBorder="1" applyAlignment="1">
      <alignment horizontal="center" vertical="center" wrapText="1"/>
    </xf>
    <xf numFmtId="0" fontId="8" fillId="0" borderId="3" xfId="246" applyFont="1" applyBorder="1" applyAlignment="1">
      <alignment horizontal="left" vertical="center" wrapText="1"/>
    </xf>
    <xf numFmtId="170" fontId="6" fillId="0" borderId="0" xfId="0" applyNumberFormat="1" applyFont="1" applyAlignment="1">
      <alignment horizontal="left" vertical="center" wrapText="1"/>
    </xf>
    <xf numFmtId="170" fontId="6" fillId="0" borderId="0" xfId="0" quotePrefix="1" applyNumberFormat="1" applyFont="1" applyAlignment="1">
      <alignment horizontal="left" vertical="center" wrapText="1"/>
    </xf>
    <xf numFmtId="0" fontId="6" fillId="0" borderId="0" xfId="0" applyFont="1" applyAlignment="1">
      <alignment vertical="center"/>
    </xf>
    <xf numFmtId="4" fontId="6" fillId="0" borderId="3" xfId="0" applyNumberFormat="1" applyFont="1" applyBorder="1" applyAlignment="1">
      <alignment horizontal="center" vertical="center" wrapText="1"/>
    </xf>
    <xf numFmtId="4" fontId="6" fillId="0" borderId="3" xfId="0" applyNumberFormat="1" applyFont="1" applyBorder="1" applyAlignment="1">
      <alignment horizontal="center" vertical="center"/>
    </xf>
    <xf numFmtId="4" fontId="11" fillId="0" borderId="3" xfId="0" applyNumberFormat="1" applyFont="1" applyBorder="1" applyAlignment="1">
      <alignment horizontal="center" vertical="center" wrapText="1" shrinkToFit="1"/>
    </xf>
    <xf numFmtId="0" fontId="71" fillId="0" borderId="3" xfId="0" applyFont="1" applyBorder="1" applyAlignment="1">
      <alignment horizontal="center" vertical="center" wrapText="1"/>
    </xf>
    <xf numFmtId="4" fontId="11" fillId="0" borderId="3" xfId="0" applyNumberFormat="1" applyFont="1" applyBorder="1" applyAlignment="1">
      <alignment horizontal="center" vertical="center" wrapText="1"/>
    </xf>
    <xf numFmtId="0" fontId="76" fillId="0" borderId="0" xfId="0" applyFont="1" applyAlignment="1">
      <alignment horizontal="center" vertical="top" wrapText="1"/>
    </xf>
    <xf numFmtId="4" fontId="76" fillId="0" borderId="0" xfId="0" applyNumberFormat="1" applyFont="1" applyAlignment="1">
      <alignment horizontal="center" vertical="top" wrapText="1"/>
    </xf>
    <xf numFmtId="0" fontId="8" fillId="32" borderId="3" xfId="0" applyFont="1" applyFill="1" applyBorder="1" applyAlignment="1">
      <alignment horizontal="left" vertical="center"/>
    </xf>
    <xf numFmtId="170" fontId="6" fillId="0" borderId="13" xfId="0" applyNumberFormat="1" applyFont="1" applyBorder="1" applyAlignment="1">
      <alignment horizontal="center" wrapText="1"/>
    </xf>
    <xf numFmtId="170" fontId="6" fillId="0" borderId="13" xfId="0" quotePrefix="1" applyNumberFormat="1" applyFont="1" applyBorder="1" applyAlignment="1">
      <alignment horizontal="center" wrapText="1"/>
    </xf>
    <xf numFmtId="4" fontId="6" fillId="0" borderId="13" xfId="0" applyNumberFormat="1" applyFont="1" applyBorder="1" applyAlignment="1">
      <alignment horizontal="center"/>
    </xf>
    <xf numFmtId="0" fontId="71" fillId="0" borderId="3" xfId="0" applyFont="1" applyBorder="1" applyAlignment="1">
      <alignment horizontal="center" vertical="center" wrapText="1" shrinkToFit="1"/>
    </xf>
    <xf numFmtId="0" fontId="103" fillId="0" borderId="0" xfId="0" applyFont="1" applyAlignment="1">
      <alignment horizontal="center" vertical="center"/>
    </xf>
    <xf numFmtId="0" fontId="6" fillId="0" borderId="13" xfId="0" applyFont="1" applyBorder="1" applyAlignment="1">
      <alignment horizontal="center"/>
    </xf>
    <xf numFmtId="0" fontId="76" fillId="0" borderId="0" xfId="0" applyFont="1" applyAlignment="1">
      <alignment horizontal="center" vertical="center"/>
    </xf>
    <xf numFmtId="0" fontId="6" fillId="0" borderId="28" xfId="238" applyFont="1" applyBorder="1" applyAlignment="1">
      <alignment horizontal="center" vertical="center" wrapText="1"/>
    </xf>
    <xf numFmtId="0" fontId="6" fillId="0" borderId="21" xfId="238" applyFont="1" applyBorder="1" applyAlignment="1">
      <alignment horizontal="center" vertical="center" wrapText="1"/>
    </xf>
    <xf numFmtId="0" fontId="5" fillId="0" borderId="0" xfId="238" applyFont="1" applyAlignment="1">
      <alignment horizontal="center" vertical="center" wrapText="1"/>
    </xf>
    <xf numFmtId="0" fontId="71" fillId="0" borderId="0" xfId="0" applyFont="1" applyAlignment="1">
      <alignment horizontal="center" vertical="justify"/>
    </xf>
    <xf numFmtId="0" fontId="71" fillId="0" borderId="28" xfId="238" applyFont="1" applyBorder="1" applyAlignment="1">
      <alignment horizontal="center" vertical="center" wrapText="1"/>
    </xf>
    <xf numFmtId="0" fontId="71" fillId="0" borderId="21" xfId="238" applyFont="1" applyBorder="1" applyAlignment="1">
      <alignment horizontal="center" vertical="center" wrapText="1"/>
    </xf>
    <xf numFmtId="180" fontId="6" fillId="29" borderId="14" xfId="0" applyNumberFormat="1" applyFont="1" applyFill="1" applyBorder="1" applyAlignment="1">
      <alignment horizontal="center" vertical="center" wrapText="1"/>
    </xf>
    <xf numFmtId="180" fontId="6" fillId="29" borderId="17" xfId="0" applyNumberFormat="1" applyFont="1" applyFill="1" applyBorder="1" applyAlignment="1">
      <alignment horizontal="center" vertical="center" wrapText="1"/>
    </xf>
    <xf numFmtId="170" fontId="6" fillId="33" borderId="14" xfId="0" applyNumberFormat="1" applyFont="1" applyFill="1" applyBorder="1" applyAlignment="1">
      <alignment horizontal="right" vertical="center" wrapText="1"/>
    </xf>
    <xf numFmtId="170" fontId="6" fillId="33" borderId="17" xfId="0" applyNumberFormat="1" applyFont="1" applyFill="1" applyBorder="1" applyAlignment="1">
      <alignment horizontal="right" vertical="center" wrapText="1"/>
    </xf>
    <xf numFmtId="174" fontId="6" fillId="33" borderId="14" xfId="0" applyNumberFormat="1" applyFont="1" applyFill="1" applyBorder="1" applyAlignment="1">
      <alignment horizontal="center" vertical="center" wrapText="1"/>
    </xf>
    <xf numFmtId="174" fontId="6" fillId="33" borderId="17" xfId="0" applyNumberFormat="1" applyFont="1" applyFill="1" applyBorder="1" applyAlignment="1">
      <alignment horizontal="center" vertical="center" wrapText="1"/>
    </xf>
    <xf numFmtId="0" fontId="6" fillId="0" borderId="3" xfId="0" applyFont="1" applyBorder="1" applyAlignment="1">
      <alignment horizontal="left" vertical="center" wrapText="1"/>
    </xf>
    <xf numFmtId="178" fontId="6" fillId="33" borderId="14" xfId="0" applyNumberFormat="1" applyFont="1" applyFill="1" applyBorder="1" applyAlignment="1">
      <alignment horizontal="center" vertical="center" wrapText="1"/>
    </xf>
    <xf numFmtId="178" fontId="6" fillId="33" borderId="17" xfId="0" applyNumberFormat="1" applyFont="1" applyFill="1" applyBorder="1" applyAlignment="1">
      <alignment horizontal="center" vertical="center" wrapText="1"/>
    </xf>
    <xf numFmtId="179" fontId="6" fillId="33" borderId="14" xfId="0" applyNumberFormat="1" applyFont="1" applyFill="1" applyBorder="1" applyAlignment="1">
      <alignment horizontal="center" vertical="center" wrapText="1"/>
    </xf>
    <xf numFmtId="179" fontId="6" fillId="33" borderId="17" xfId="0" applyNumberFormat="1" applyFont="1" applyFill="1" applyBorder="1" applyAlignment="1">
      <alignment horizontal="center" vertical="center" wrapText="1"/>
    </xf>
    <xf numFmtId="4" fontId="6" fillId="0" borderId="14" xfId="0" applyNumberFormat="1" applyFont="1" applyBorder="1" applyAlignment="1">
      <alignment horizontal="right" vertical="center" wrapText="1"/>
    </xf>
    <xf numFmtId="4" fontId="6" fillId="0" borderId="17" xfId="0" applyNumberFormat="1" applyFont="1" applyBorder="1" applyAlignment="1">
      <alignment horizontal="right" vertical="center" wrapText="1"/>
    </xf>
    <xf numFmtId="3" fontId="6" fillId="0" borderId="14" xfId="0" applyNumberFormat="1" applyFont="1" applyBorder="1" applyAlignment="1">
      <alignment horizontal="right" vertical="center" wrapText="1"/>
    </xf>
    <xf numFmtId="3" fontId="6" fillId="0" borderId="17" xfId="0" applyNumberFormat="1" applyFont="1" applyBorder="1" applyAlignment="1">
      <alignment horizontal="right" vertical="center" wrapText="1"/>
    </xf>
    <xf numFmtId="170" fontId="6" fillId="0" borderId="14" xfId="0" applyNumberFormat="1" applyFont="1" applyBorder="1" applyAlignment="1">
      <alignment horizontal="right" vertical="center" wrapText="1"/>
    </xf>
    <xf numFmtId="170" fontId="6" fillId="0" borderId="17" xfId="0" applyNumberFormat="1" applyFont="1" applyBorder="1" applyAlignment="1">
      <alignment horizontal="right" vertical="center" wrapText="1"/>
    </xf>
    <xf numFmtId="0" fontId="71" fillId="0" borderId="3" xfId="0" applyFont="1" applyBorder="1" applyAlignment="1">
      <alignment horizontal="center" vertical="center"/>
    </xf>
    <xf numFmtId="0" fontId="71" fillId="33" borderId="3" xfId="0" applyFont="1" applyFill="1" applyBorder="1" applyAlignment="1">
      <alignment horizontal="center" vertical="center" wrapText="1"/>
    </xf>
    <xf numFmtId="0" fontId="5" fillId="0" borderId="14" xfId="0" applyFont="1" applyBorder="1" applyAlignment="1">
      <alignment horizontal="left" vertical="center" wrapText="1"/>
    </xf>
    <xf numFmtId="0" fontId="5" fillId="0" borderId="15" xfId="0" applyFont="1" applyBorder="1" applyAlignment="1">
      <alignment horizontal="left" vertical="center" wrapText="1"/>
    </xf>
    <xf numFmtId="0" fontId="5" fillId="0" borderId="17" xfId="0" applyFont="1" applyBorder="1" applyAlignment="1">
      <alignment horizontal="left" vertical="center" wrapText="1"/>
    </xf>
    <xf numFmtId="0" fontId="6" fillId="33" borderId="3" xfId="0" applyFont="1" applyFill="1" applyBorder="1" applyAlignment="1">
      <alignment horizontal="center" vertical="center" wrapText="1"/>
    </xf>
    <xf numFmtId="0" fontId="71" fillId="0" borderId="0" xfId="0" applyFont="1" applyAlignment="1">
      <alignment horizontal="center" vertical="center"/>
    </xf>
    <xf numFmtId="0" fontId="6" fillId="0" borderId="0" xfId="0" applyFont="1" applyAlignment="1">
      <alignment vertical="center" wrapText="1"/>
    </xf>
    <xf numFmtId="0" fontId="5" fillId="0" borderId="0" xfId="0" applyFont="1" applyAlignment="1">
      <alignment vertical="center" wrapText="1"/>
    </xf>
    <xf numFmtId="179" fontId="6" fillId="0" borderId="14" xfId="0" applyNumberFormat="1" applyFont="1" applyBorder="1" applyAlignment="1">
      <alignment horizontal="center" vertical="center" wrapText="1"/>
    </xf>
    <xf numFmtId="179" fontId="6" fillId="0" borderId="17" xfId="0" applyNumberFormat="1" applyFont="1" applyBorder="1" applyAlignment="1">
      <alignment horizontal="center" vertical="center" wrapText="1"/>
    </xf>
    <xf numFmtId="0" fontId="5" fillId="0" borderId="0" xfId="0" applyFont="1" applyAlignment="1">
      <alignment horizontal="left" vertical="center" wrapText="1"/>
    </xf>
    <xf numFmtId="0" fontId="11" fillId="0" borderId="0" xfId="0" applyFont="1" applyAlignment="1">
      <alignment horizontal="justify" vertical="center" wrapText="1" shrinkToFit="1"/>
    </xf>
    <xf numFmtId="178" fontId="6" fillId="0" borderId="14" xfId="0" applyNumberFormat="1" applyFont="1" applyBorder="1" applyAlignment="1">
      <alignment horizontal="center" vertical="center" wrapText="1"/>
    </xf>
    <xf numFmtId="178" fontId="6" fillId="0" borderId="17" xfId="0" applyNumberFormat="1" applyFont="1" applyBorder="1" applyAlignment="1">
      <alignment horizontal="center" vertical="center" wrapText="1"/>
    </xf>
    <xf numFmtId="0" fontId="5" fillId="0" borderId="3" xfId="0" applyFont="1" applyBorder="1" applyAlignment="1">
      <alignment horizontal="left" vertical="center" wrapText="1"/>
    </xf>
    <xf numFmtId="192" fontId="6" fillId="0" borderId="14" xfId="0" applyNumberFormat="1" applyFont="1" applyBorder="1" applyAlignment="1">
      <alignment horizontal="center" vertical="center" wrapText="1"/>
    </xf>
    <xf numFmtId="192" fontId="6" fillId="0" borderId="17" xfId="0" applyNumberFormat="1" applyFont="1" applyBorder="1" applyAlignment="1">
      <alignment horizontal="center" vertical="center" wrapText="1"/>
    </xf>
    <xf numFmtId="0" fontId="71" fillId="0" borderId="28" xfId="0" applyFont="1" applyBorder="1" applyAlignment="1">
      <alignment horizontal="center" vertical="center" wrapText="1"/>
    </xf>
    <xf numFmtId="0" fontId="6" fillId="0" borderId="14" xfId="0" applyFont="1" applyBorder="1" applyAlignment="1">
      <alignment vertical="center" wrapText="1"/>
    </xf>
    <xf numFmtId="0" fontId="6" fillId="0" borderId="15" xfId="0" applyFont="1" applyBorder="1" applyAlignment="1">
      <alignment vertical="center" wrapText="1"/>
    </xf>
    <xf numFmtId="0" fontId="6" fillId="0" borderId="17" xfId="0" applyFont="1" applyBorder="1" applyAlignment="1">
      <alignment vertical="center" wrapText="1"/>
    </xf>
    <xf numFmtId="0" fontId="6" fillId="0" borderId="0" xfId="0" applyFont="1" applyAlignment="1">
      <alignment horizontal="center" vertical="center" wrapText="1"/>
    </xf>
    <xf numFmtId="0" fontId="5" fillId="0" borderId="0" xfId="0" applyFont="1" applyAlignment="1">
      <alignment vertical="center"/>
    </xf>
    <xf numFmtId="0" fontId="71" fillId="0" borderId="14" xfId="0" applyFont="1" applyBorder="1" applyAlignment="1">
      <alignment vertical="center" wrapText="1"/>
    </xf>
    <xf numFmtId="0" fontId="71" fillId="0" borderId="15" xfId="0" applyFont="1" applyBorder="1" applyAlignment="1">
      <alignment vertical="center" wrapText="1"/>
    </xf>
    <xf numFmtId="0" fontId="71" fillId="0" borderId="17" xfId="0" applyFont="1" applyBorder="1" applyAlignment="1">
      <alignment vertical="center" wrapText="1"/>
    </xf>
    <xf numFmtId="178" fontId="6" fillId="33" borderId="14" xfId="0" applyNumberFormat="1" applyFont="1" applyFill="1" applyBorder="1" applyAlignment="1">
      <alignment vertical="center" wrapText="1"/>
    </xf>
    <xf numFmtId="178" fontId="6" fillId="33" borderId="17" xfId="0" applyNumberFormat="1" applyFont="1" applyFill="1" applyBorder="1" applyAlignment="1">
      <alignment vertical="center" wrapText="1"/>
    </xf>
    <xf numFmtId="0" fontId="71" fillId="0" borderId="14" xfId="0" applyFont="1" applyBorder="1" applyAlignment="1">
      <alignment horizontal="left" vertical="center" wrapText="1"/>
    </xf>
    <xf numFmtId="0" fontId="71" fillId="0" borderId="15" xfId="0" applyFont="1" applyBorder="1" applyAlignment="1">
      <alignment horizontal="left" vertical="center" wrapText="1"/>
    </xf>
    <xf numFmtId="0" fontId="71" fillId="0" borderId="17" xfId="0" applyFont="1" applyBorder="1" applyAlignment="1">
      <alignment horizontal="left" vertical="center" wrapText="1"/>
    </xf>
    <xf numFmtId="178" fontId="6" fillId="0" borderId="21" xfId="0" applyNumberFormat="1" applyFont="1" applyBorder="1" applyAlignment="1">
      <alignment vertical="center" wrapText="1"/>
    </xf>
    <xf numFmtId="3" fontId="6" fillId="0" borderId="3" xfId="0" applyNumberFormat="1" applyFont="1" applyBorder="1" applyAlignment="1">
      <alignment horizontal="center" vertical="center"/>
    </xf>
    <xf numFmtId="0" fontId="6" fillId="0" borderId="14" xfId="0" applyFont="1" applyBorder="1" applyAlignment="1">
      <alignment horizontal="center" vertical="center"/>
    </xf>
    <xf numFmtId="3" fontId="6" fillId="0" borderId="3" xfId="0" applyNumberFormat="1" applyFont="1" applyBorder="1" applyAlignment="1">
      <alignment horizontal="center" vertical="center" wrapText="1"/>
    </xf>
    <xf numFmtId="179" fontId="6" fillId="0" borderId="3" xfId="0" applyNumberFormat="1" applyFont="1" applyBorder="1" applyAlignment="1">
      <alignment horizontal="center" vertical="center" wrapText="1"/>
    </xf>
    <xf numFmtId="170" fontId="6" fillId="0" borderId="3" xfId="0" applyNumberFormat="1" applyFont="1" applyBorder="1" applyAlignment="1">
      <alignment horizontal="center" vertical="center" wrapText="1"/>
    </xf>
    <xf numFmtId="179" fontId="6" fillId="0" borderId="15" xfId="0" applyNumberFormat="1" applyFont="1" applyBorder="1" applyAlignment="1">
      <alignment horizontal="center" vertical="center" wrapText="1"/>
    </xf>
    <xf numFmtId="0" fontId="11" fillId="0" borderId="3" xfId="0" applyFont="1" applyBorder="1" applyAlignment="1">
      <alignment horizontal="left" vertical="center" wrapText="1"/>
    </xf>
    <xf numFmtId="179" fontId="5" fillId="0" borderId="3" xfId="0" applyNumberFormat="1" applyFont="1" applyBorder="1" applyAlignment="1">
      <alignment horizontal="center" vertical="center" wrapText="1"/>
    </xf>
    <xf numFmtId="0" fontId="6" fillId="0" borderId="14" xfId="0" applyFont="1" applyBorder="1" applyAlignment="1">
      <alignment horizontal="left" vertical="center" wrapText="1"/>
    </xf>
    <xf numFmtId="0" fontId="6" fillId="0" borderId="17" xfId="0" applyFont="1" applyBorder="1" applyAlignment="1">
      <alignment horizontal="left" vertical="center" wrapText="1"/>
    </xf>
    <xf numFmtId="178" fontId="6" fillId="0" borderId="14" xfId="0" applyNumberFormat="1" applyFont="1" applyBorder="1" applyAlignment="1">
      <alignment vertical="center" wrapText="1"/>
    </xf>
    <xf numFmtId="178" fontId="6" fillId="0" borderId="17" xfId="0" applyNumberFormat="1" applyFont="1" applyBorder="1" applyAlignment="1">
      <alignment vertical="center" wrapText="1"/>
    </xf>
    <xf numFmtId="0" fontId="106" fillId="0" borderId="43" xfId="220" applyFont="1" applyBorder="1" applyAlignment="1">
      <alignment horizontal="right" vertical="center" wrapText="1"/>
    </xf>
    <xf numFmtId="0" fontId="94" fillId="0" borderId="44" xfId="220" applyFont="1" applyBorder="1"/>
    <xf numFmtId="0" fontId="94" fillId="0" borderId="100" xfId="220" applyFont="1" applyBorder="1"/>
    <xf numFmtId="0" fontId="114" fillId="49" borderId="43" xfId="220" applyFont="1" applyFill="1" applyBorder="1" applyAlignment="1">
      <alignment horizontal="center" vertical="center" wrapText="1"/>
    </xf>
    <xf numFmtId="0" fontId="94" fillId="50" borderId="44" xfId="220" applyFont="1" applyFill="1" applyBorder="1"/>
    <xf numFmtId="0" fontId="94" fillId="50" borderId="40" xfId="220" applyFont="1" applyFill="1" applyBorder="1"/>
    <xf numFmtId="0" fontId="81" fillId="0" borderId="0" xfId="220" applyFont="1" applyAlignment="1">
      <alignment horizontal="center"/>
    </xf>
    <xf numFmtId="0" fontId="81" fillId="51" borderId="43" xfId="220" applyFont="1" applyFill="1" applyBorder="1" applyAlignment="1">
      <alignment horizontal="center" vertical="center" wrapText="1"/>
    </xf>
    <xf numFmtId="0" fontId="94" fillId="52" borderId="44" xfId="220" applyFont="1" applyFill="1" applyBorder="1"/>
    <xf numFmtId="0" fontId="94" fillId="52" borderId="40" xfId="220" applyFont="1" applyFill="1" applyBorder="1"/>
    <xf numFmtId="0" fontId="106" fillId="0" borderId="48" xfId="220" applyFont="1" applyBorder="1" applyAlignment="1">
      <alignment horizontal="right" vertical="center" wrapText="1"/>
    </xf>
    <xf numFmtId="0" fontId="94" fillId="0" borderId="49" xfId="220" applyFont="1" applyBorder="1"/>
    <xf numFmtId="0" fontId="94" fillId="0" borderId="101" xfId="220" applyFont="1" applyBorder="1"/>
    <xf numFmtId="0" fontId="81" fillId="49" borderId="43" xfId="220" applyFont="1" applyFill="1" applyBorder="1" applyAlignment="1">
      <alignment horizontal="center" vertical="center" wrapText="1"/>
    </xf>
    <xf numFmtId="0" fontId="90" fillId="0" borderId="43" xfId="220" applyFont="1" applyBorder="1" applyAlignment="1">
      <alignment horizontal="right" vertical="center" wrapText="1"/>
    </xf>
    <xf numFmtId="0" fontId="106" fillId="0" borderId="50" xfId="220" applyFont="1" applyBorder="1" applyAlignment="1">
      <alignment horizontal="right" vertical="center" wrapText="1"/>
    </xf>
    <xf numFmtId="0" fontId="94" fillId="0" borderId="51" xfId="220" applyFont="1" applyBorder="1"/>
    <xf numFmtId="0" fontId="94" fillId="0" borderId="94" xfId="220" applyFont="1" applyBorder="1"/>
    <xf numFmtId="0" fontId="79" fillId="53" borderId="43" xfId="220" applyFont="1" applyFill="1" applyBorder="1" applyAlignment="1">
      <alignment horizontal="center"/>
    </xf>
    <xf numFmtId="0" fontId="79" fillId="53" borderId="44" xfId="220" applyFont="1" applyFill="1" applyBorder="1" applyAlignment="1">
      <alignment horizontal="center"/>
    </xf>
    <xf numFmtId="0" fontId="79" fillId="53" borderId="45" xfId="220" applyFont="1" applyFill="1" applyBorder="1" applyAlignment="1">
      <alignment horizontal="center"/>
    </xf>
    <xf numFmtId="4" fontId="11" fillId="0" borderId="0" xfId="220" applyNumberFormat="1" applyFont="1" applyAlignment="1">
      <alignment horizontal="center"/>
    </xf>
    <xf numFmtId="0" fontId="114" fillId="51" borderId="43" xfId="220" applyFont="1" applyFill="1" applyBorder="1" applyAlignment="1">
      <alignment horizontal="center" vertical="center" wrapText="1"/>
    </xf>
    <xf numFmtId="0" fontId="106" fillId="47" borderId="43" xfId="220" applyFont="1" applyFill="1" applyBorder="1" applyAlignment="1">
      <alignment horizontal="right" vertical="center" wrapText="1"/>
    </xf>
    <xf numFmtId="0" fontId="94" fillId="44" borderId="44" xfId="220" applyFont="1" applyFill="1" applyBorder="1" applyAlignment="1">
      <alignment horizontal="right"/>
    </xf>
    <xf numFmtId="0" fontId="94" fillId="44" borderId="92" xfId="220" applyFont="1" applyFill="1" applyBorder="1" applyAlignment="1">
      <alignment horizontal="right"/>
    </xf>
    <xf numFmtId="4" fontId="106" fillId="47" borderId="85" xfId="220" applyNumberFormat="1" applyFont="1" applyFill="1" applyBorder="1" applyAlignment="1">
      <alignment horizontal="center" vertical="center"/>
    </xf>
    <xf numFmtId="4" fontId="106" fillId="47" borderId="44" xfId="220" applyNumberFormat="1" applyFont="1" applyFill="1" applyBorder="1" applyAlignment="1">
      <alignment horizontal="center" vertical="center"/>
    </xf>
    <xf numFmtId="0" fontId="94" fillId="44" borderId="44" xfId="220" applyFont="1" applyFill="1" applyBorder="1"/>
    <xf numFmtId="0" fontId="94" fillId="44" borderId="92" xfId="220" applyFont="1" applyFill="1" applyBorder="1"/>
    <xf numFmtId="0" fontId="79" fillId="46" borderId="46" xfId="220" applyFont="1" applyFill="1" applyBorder="1" applyAlignment="1">
      <alignment horizontal="center"/>
    </xf>
    <xf numFmtId="0" fontId="79" fillId="46" borderId="0" xfId="220" applyFont="1" applyFill="1" applyAlignment="1">
      <alignment horizontal="center"/>
    </xf>
    <xf numFmtId="0" fontId="79" fillId="46" borderId="47" xfId="220" applyFont="1" applyFill="1" applyBorder="1" applyAlignment="1">
      <alignment horizontal="center"/>
    </xf>
    <xf numFmtId="0" fontId="114" fillId="51" borderId="43" xfId="220" applyFont="1" applyFill="1" applyBorder="1" applyAlignment="1">
      <alignment horizontal="center" vertical="center"/>
    </xf>
    <xf numFmtId="0" fontId="94" fillId="0" borderId="40" xfId="220" applyFont="1" applyBorder="1"/>
    <xf numFmtId="0" fontId="114" fillId="51" borderId="53" xfId="220" applyFont="1" applyFill="1" applyBorder="1" applyAlignment="1">
      <alignment horizontal="center" vertical="center" wrapText="1"/>
    </xf>
    <xf numFmtId="0" fontId="94" fillId="52" borderId="29" xfId="220" applyFont="1" applyFill="1" applyBorder="1"/>
    <xf numFmtId="0" fontId="94" fillId="52" borderId="35" xfId="220" applyFont="1" applyFill="1" applyBorder="1"/>
    <xf numFmtId="0" fontId="106" fillId="0" borderId="53" xfId="220" applyFont="1" applyBorder="1" applyAlignment="1">
      <alignment horizontal="right" vertical="center" wrapText="1"/>
    </xf>
    <xf numFmtId="0" fontId="94" fillId="0" borderId="29" xfId="220" applyFont="1" applyBorder="1"/>
    <xf numFmtId="0" fontId="94" fillId="52" borderId="58" xfId="220" applyFont="1" applyFill="1" applyBorder="1"/>
    <xf numFmtId="4" fontId="109" fillId="54" borderId="52" xfId="220" applyNumberFormat="1" applyFont="1" applyFill="1" applyBorder="1" applyAlignment="1">
      <alignment horizontal="center" vertical="center" textRotation="90" wrapText="1"/>
    </xf>
    <xf numFmtId="4" fontId="109" fillId="54" borderId="38" xfId="220" applyNumberFormat="1" applyFont="1" applyFill="1" applyBorder="1" applyAlignment="1">
      <alignment horizontal="center" vertical="center" textRotation="90" wrapText="1"/>
    </xf>
    <xf numFmtId="4" fontId="109" fillId="38" borderId="52" xfId="220" applyNumberFormat="1" applyFont="1" applyFill="1" applyBorder="1" applyAlignment="1">
      <alignment horizontal="center" vertical="center" textRotation="90" wrapText="1"/>
    </xf>
    <xf numFmtId="4" fontId="109" fillId="38" borderId="38" xfId="220" applyNumberFormat="1" applyFont="1" applyFill="1" applyBorder="1" applyAlignment="1">
      <alignment horizontal="center" vertical="center" textRotation="90" wrapText="1"/>
    </xf>
    <xf numFmtId="0" fontId="106" fillId="0" borderId="54" xfId="220" applyFont="1" applyBorder="1" applyAlignment="1">
      <alignment horizontal="right" vertical="center" wrapText="1"/>
    </xf>
    <xf numFmtId="0" fontId="94" fillId="52" borderId="51" xfId="220" applyFont="1" applyFill="1" applyBorder="1"/>
    <xf numFmtId="0" fontId="115" fillId="54" borderId="52" xfId="220" applyFont="1" applyFill="1" applyBorder="1" applyAlignment="1">
      <alignment horizontal="center" vertical="center"/>
    </xf>
    <xf numFmtId="0" fontId="115" fillId="54" borderId="38" xfId="220" applyFont="1" applyFill="1" applyBorder="1" applyAlignment="1">
      <alignment horizontal="center" vertical="center"/>
    </xf>
    <xf numFmtId="0" fontId="109" fillId="54" borderId="52" xfId="220" applyFont="1" applyFill="1" applyBorder="1" applyAlignment="1">
      <alignment horizontal="center" vertical="center" textRotation="90" wrapText="1"/>
    </xf>
    <xf numFmtId="0" fontId="109" fillId="54" borderId="38" xfId="220" applyFont="1" applyFill="1" applyBorder="1" applyAlignment="1">
      <alignment horizontal="center" vertical="center" textRotation="90" wrapText="1"/>
    </xf>
    <xf numFmtId="0" fontId="106" fillId="33" borderId="0" xfId="220" applyFont="1" applyFill="1" applyAlignment="1">
      <alignment horizontal="left" vertical="center" wrapText="1"/>
    </xf>
    <xf numFmtId="0" fontId="117" fillId="0" borderId="0" xfId="220" applyFont="1" applyAlignment="1">
      <alignment horizontal="center" wrapText="1"/>
    </xf>
    <xf numFmtId="0" fontId="100" fillId="0" borderId="0" xfId="220" applyAlignment="1">
      <alignment wrapText="1"/>
    </xf>
    <xf numFmtId="0" fontId="85" fillId="0" borderId="0" xfId="220" applyFont="1" applyAlignment="1">
      <alignment horizontal="left" vertical="top" wrapText="1"/>
    </xf>
    <xf numFmtId="0" fontId="96" fillId="0" borderId="0" xfId="220" applyFont="1" applyAlignment="1">
      <alignment horizontal="left"/>
    </xf>
    <xf numFmtId="0" fontId="118" fillId="0" borderId="0" xfId="220" applyFont="1" applyAlignment="1">
      <alignment vertical="center"/>
    </xf>
    <xf numFmtId="0" fontId="100" fillId="0" borderId="0" xfId="220"/>
    <xf numFmtId="0" fontId="119" fillId="54" borderId="54" xfId="220" applyFont="1" applyFill="1" applyBorder="1" applyAlignment="1">
      <alignment horizontal="center" vertical="center" wrapText="1"/>
    </xf>
    <xf numFmtId="0" fontId="94" fillId="38" borderId="58" xfId="220" applyFont="1" applyFill="1" applyBorder="1"/>
    <xf numFmtId="0" fontId="94" fillId="38" borderId="56" xfId="220" applyFont="1" applyFill="1" applyBorder="1"/>
    <xf numFmtId="0" fontId="95" fillId="38" borderId="43" xfId="220" applyFont="1" applyFill="1" applyBorder="1" applyAlignment="1">
      <alignment horizontal="center" vertical="center" wrapText="1"/>
    </xf>
    <xf numFmtId="0" fontId="95" fillId="38" borderId="40" xfId="220" applyFont="1" applyFill="1" applyBorder="1" applyAlignment="1">
      <alignment horizontal="center" vertical="center" wrapText="1"/>
    </xf>
    <xf numFmtId="4" fontId="115" fillId="54" borderId="54" xfId="220" applyNumberFormat="1" applyFont="1" applyFill="1" applyBorder="1" applyAlignment="1">
      <alignment horizontal="center" vertical="center" wrapText="1"/>
    </xf>
    <xf numFmtId="4" fontId="115" fillId="54" borderId="58" xfId="220" applyNumberFormat="1" applyFont="1" applyFill="1" applyBorder="1" applyAlignment="1">
      <alignment horizontal="center" vertical="center" wrapText="1"/>
    </xf>
    <xf numFmtId="4" fontId="115" fillId="54" borderId="56" xfId="220" applyNumberFormat="1" applyFont="1" applyFill="1" applyBorder="1" applyAlignment="1">
      <alignment horizontal="center" vertical="center" wrapText="1"/>
    </xf>
    <xf numFmtId="4" fontId="115" fillId="54" borderId="50" xfId="220" applyNumberFormat="1" applyFont="1" applyFill="1" applyBorder="1" applyAlignment="1">
      <alignment horizontal="center" vertical="center" wrapText="1"/>
    </xf>
    <xf numFmtId="4" fontId="115" fillId="54" borderId="51" xfId="220" applyNumberFormat="1" applyFont="1" applyFill="1" applyBorder="1" applyAlignment="1">
      <alignment horizontal="center" vertical="center" wrapText="1"/>
    </xf>
    <xf numFmtId="4" fontId="115" fillId="54" borderId="57" xfId="220" applyNumberFormat="1" applyFont="1" applyFill="1" applyBorder="1" applyAlignment="1">
      <alignment horizontal="center" vertical="center" wrapText="1"/>
    </xf>
    <xf numFmtId="4" fontId="115" fillId="54" borderId="52" xfId="220" applyNumberFormat="1" applyFont="1" applyFill="1" applyBorder="1" applyAlignment="1">
      <alignment horizontal="center" vertical="center" wrapText="1"/>
    </xf>
    <xf numFmtId="4" fontId="115" fillId="54" borderId="38" xfId="220" applyNumberFormat="1" applyFont="1" applyFill="1" applyBorder="1" applyAlignment="1">
      <alignment horizontal="center" vertical="center" wrapText="1"/>
    </xf>
    <xf numFmtId="4" fontId="115" fillId="54" borderId="59" xfId="220" applyNumberFormat="1" applyFont="1" applyFill="1" applyBorder="1" applyAlignment="1">
      <alignment horizontal="center" vertical="center" wrapText="1"/>
    </xf>
    <xf numFmtId="0" fontId="95" fillId="38" borderId="50" xfId="220" applyFont="1" applyFill="1" applyBorder="1" applyAlignment="1">
      <alignment horizontal="center" vertical="center" wrapText="1"/>
    </xf>
    <xf numFmtId="0" fontId="95" fillId="38" borderId="57" xfId="220" applyFont="1" applyFill="1" applyBorder="1" applyAlignment="1">
      <alignment horizontal="center" vertical="center" wrapText="1"/>
    </xf>
    <xf numFmtId="4" fontId="116" fillId="54" borderId="52" xfId="220" applyNumberFormat="1" applyFont="1" applyFill="1" applyBorder="1" applyAlignment="1">
      <alignment horizontal="center" vertical="center" wrapText="1"/>
    </xf>
    <xf numFmtId="4" fontId="116" fillId="54" borderId="38" xfId="220" applyNumberFormat="1" applyFont="1" applyFill="1" applyBorder="1" applyAlignment="1">
      <alignment horizontal="center" vertical="center" wrapText="1"/>
    </xf>
    <xf numFmtId="4" fontId="116" fillId="54" borderId="55" xfId="220" applyNumberFormat="1" applyFont="1" applyFill="1" applyBorder="1" applyAlignment="1">
      <alignment horizontal="center" vertical="center" wrapText="1"/>
    </xf>
    <xf numFmtId="0" fontId="97" fillId="38" borderId="56" xfId="220" applyFont="1" applyFill="1" applyBorder="1"/>
    <xf numFmtId="4" fontId="109" fillId="54" borderId="43" xfId="220" applyNumberFormat="1" applyFont="1" applyFill="1" applyBorder="1" applyAlignment="1">
      <alignment horizontal="center" vertical="center" wrapText="1"/>
    </xf>
    <xf numFmtId="4" fontId="109" fillId="54" borderId="40" xfId="220" applyNumberFormat="1" applyFont="1" applyFill="1" applyBorder="1" applyAlignment="1">
      <alignment horizontal="center" vertical="center" wrapText="1"/>
    </xf>
    <xf numFmtId="4" fontId="71" fillId="0" borderId="15" xfId="0" applyNumberFormat="1" applyFont="1" applyBorder="1" applyAlignment="1">
      <alignment horizontal="center" vertical="center" wrapText="1"/>
    </xf>
    <xf numFmtId="4" fontId="71" fillId="0" borderId="17" xfId="0" applyNumberFormat="1" applyFont="1" applyBorder="1" applyAlignment="1">
      <alignment horizontal="center" vertical="center" wrapText="1"/>
    </xf>
    <xf numFmtId="170" fontId="6" fillId="0" borderId="14" xfId="0" applyNumberFormat="1" applyFont="1" applyBorder="1" applyAlignment="1">
      <alignment horizontal="center" vertical="center" wrapText="1"/>
    </xf>
    <xf numFmtId="170" fontId="6" fillId="0" borderId="17" xfId="0" applyNumberFormat="1" applyFont="1" applyBorder="1" applyAlignment="1">
      <alignment horizontal="center" vertical="center" wrapText="1"/>
    </xf>
    <xf numFmtId="170" fontId="6" fillId="29" borderId="14" xfId="0" applyNumberFormat="1" applyFont="1" applyFill="1" applyBorder="1" applyAlignment="1">
      <alignment horizontal="center" vertical="center" wrapText="1"/>
    </xf>
    <xf numFmtId="170" fontId="6" fillId="29" borderId="17" xfId="0" applyNumberFormat="1" applyFont="1" applyFill="1" applyBorder="1" applyAlignment="1">
      <alignment horizontal="center" vertical="center" wrapText="1"/>
    </xf>
    <xf numFmtId="0" fontId="13" fillId="0" borderId="17" xfId="0" applyFont="1" applyBorder="1" applyAlignment="1">
      <alignment horizontal="center" vertical="center" wrapText="1"/>
    </xf>
    <xf numFmtId="0" fontId="6" fillId="29" borderId="14" xfId="0" applyFont="1" applyFill="1" applyBorder="1" applyAlignment="1">
      <alignment horizontal="center" vertical="center" wrapText="1"/>
    </xf>
    <xf numFmtId="169" fontId="6" fillId="29" borderId="17" xfId="0" applyNumberFormat="1" applyFont="1" applyFill="1" applyBorder="1" applyAlignment="1">
      <alignment horizontal="center" vertical="center" wrapText="1"/>
    </xf>
    <xf numFmtId="169" fontId="6" fillId="0" borderId="14" xfId="0" applyNumberFormat="1" applyFont="1" applyBorder="1" applyAlignment="1">
      <alignment horizontal="center" vertical="center" wrapText="1"/>
    </xf>
    <xf numFmtId="169" fontId="6" fillId="0" borderId="17" xfId="0" applyNumberFormat="1" applyFont="1" applyBorder="1" applyAlignment="1">
      <alignment horizontal="center" vertical="center" wrapText="1"/>
    </xf>
    <xf numFmtId="170" fontId="6" fillId="33" borderId="14" xfId="0" applyNumberFormat="1" applyFont="1" applyFill="1" applyBorder="1" applyAlignment="1">
      <alignment horizontal="center" vertical="center" wrapText="1"/>
    </xf>
    <xf numFmtId="170" fontId="6" fillId="33" borderId="17" xfId="0" applyNumberFormat="1" applyFont="1" applyFill="1" applyBorder="1" applyAlignment="1">
      <alignment horizontal="center" vertical="center" wrapText="1"/>
    </xf>
    <xf numFmtId="0" fontId="11" fillId="0" borderId="16" xfId="0" applyFont="1" applyBorder="1" applyAlignment="1">
      <alignment horizontal="center" vertical="center" wrapText="1"/>
    </xf>
    <xf numFmtId="0" fontId="11" fillId="0" borderId="19" xfId="0" applyFont="1" applyBorder="1" applyAlignment="1">
      <alignment horizontal="center" vertical="center" wrapText="1"/>
    </xf>
    <xf numFmtId="0" fontId="11" fillId="0" borderId="20" xfId="0" applyFont="1" applyBorder="1" applyAlignment="1">
      <alignment horizontal="center" vertical="center" wrapText="1"/>
    </xf>
    <xf numFmtId="0" fontId="71" fillId="0" borderId="41" xfId="0" applyFont="1" applyBorder="1" applyAlignment="1">
      <alignment horizontal="center" vertical="center" wrapText="1"/>
    </xf>
    <xf numFmtId="0" fontId="71" fillId="0" borderId="21" xfId="0" applyFont="1" applyBorder="1" applyAlignment="1">
      <alignment horizontal="center" vertical="center" wrapText="1"/>
    </xf>
    <xf numFmtId="4" fontId="11" fillId="0" borderId="14" xfId="0" applyNumberFormat="1" applyFont="1" applyBorder="1" applyAlignment="1">
      <alignment horizontal="center" vertical="center" wrapText="1"/>
    </xf>
    <xf numFmtId="4" fontId="11" fillId="0" borderId="15" xfId="0" applyNumberFormat="1" applyFont="1" applyBorder="1" applyAlignment="1">
      <alignment horizontal="center" vertical="center" wrapText="1"/>
    </xf>
    <xf numFmtId="4" fontId="11" fillId="0" borderId="17" xfId="0" applyNumberFormat="1" applyFont="1" applyBorder="1" applyAlignment="1">
      <alignment horizontal="center" vertical="center" wrapText="1"/>
    </xf>
    <xf numFmtId="0" fontId="6" fillId="0" borderId="16"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46" xfId="0" applyFont="1" applyBorder="1" applyAlignment="1">
      <alignment horizontal="center" vertical="center" wrapText="1"/>
    </xf>
    <xf numFmtId="0" fontId="6" fillId="0" borderId="60" xfId="0" applyFont="1" applyBorder="1" applyAlignment="1">
      <alignment horizontal="center" vertical="center" wrapText="1"/>
    </xf>
    <xf numFmtId="0" fontId="6" fillId="0" borderId="13" xfId="0" applyFont="1" applyBorder="1" applyAlignment="1">
      <alignment horizontal="center" vertical="center" wrapText="1"/>
    </xf>
    <xf numFmtId="0" fontId="72" fillId="0" borderId="15" xfId="0" applyFont="1" applyBorder="1" applyAlignment="1">
      <alignment horizontal="center" vertical="center" wrapText="1"/>
    </xf>
    <xf numFmtId="0" fontId="0" fillId="0" borderId="3" xfId="0" applyBorder="1"/>
    <xf numFmtId="49" fontId="7" fillId="0" borderId="3" xfId="0" applyNumberFormat="1" applyFont="1" applyBorder="1" applyAlignment="1">
      <alignment horizontal="left" vertical="center" wrapText="1"/>
    </xf>
    <xf numFmtId="170" fontId="6" fillId="33" borderId="3" xfId="0" applyNumberFormat="1" applyFont="1" applyFill="1" applyBorder="1" applyAlignment="1">
      <alignment horizontal="center" vertical="center" wrapText="1"/>
    </xf>
    <xf numFmtId="49" fontId="8" fillId="0" borderId="14" xfId="0" applyNumberFormat="1" applyFont="1" applyBorder="1" applyAlignment="1">
      <alignment vertical="center" wrapText="1"/>
    </xf>
    <xf numFmtId="49" fontId="8" fillId="0" borderId="15" xfId="0" applyNumberFormat="1" applyFont="1" applyBorder="1" applyAlignment="1">
      <alignment vertical="center" wrapText="1"/>
    </xf>
    <xf numFmtId="49" fontId="8" fillId="0" borderId="17" xfId="0" applyNumberFormat="1" applyFont="1" applyBorder="1" applyAlignment="1">
      <alignment vertical="center" wrapText="1"/>
    </xf>
    <xf numFmtId="179" fontId="6" fillId="29" borderId="3" xfId="0" applyNumberFormat="1" applyFont="1" applyFill="1" applyBorder="1" applyAlignment="1">
      <alignment horizontal="center" vertical="center" wrapText="1"/>
    </xf>
    <xf numFmtId="49" fontId="7" fillId="0" borderId="14" xfId="0" applyNumberFormat="1" applyFont="1" applyBorder="1" applyAlignment="1">
      <alignment horizontal="left" vertical="center" wrapText="1"/>
    </xf>
    <xf numFmtId="49" fontId="7" fillId="0" borderId="15" xfId="0" applyNumberFormat="1" applyFont="1" applyBorder="1" applyAlignment="1">
      <alignment horizontal="left" vertical="center" wrapText="1"/>
    </xf>
    <xf numFmtId="49" fontId="7" fillId="0" borderId="17" xfId="0" applyNumberFormat="1" applyFont="1" applyBorder="1" applyAlignment="1">
      <alignment horizontal="left" vertical="center" wrapText="1"/>
    </xf>
    <xf numFmtId="170" fontId="5" fillId="33" borderId="3" xfId="0" applyNumberFormat="1" applyFont="1" applyFill="1" applyBorder="1" applyAlignment="1">
      <alignment horizontal="center" vertical="center" wrapText="1"/>
    </xf>
    <xf numFmtId="0" fontId="13" fillId="33" borderId="3" xfId="246" applyFont="1" applyFill="1" applyBorder="1" applyAlignment="1">
      <alignment horizontal="center" vertical="center" wrapText="1"/>
    </xf>
    <xf numFmtId="179" fontId="5" fillId="33" borderId="3" xfId="0" applyNumberFormat="1" applyFont="1" applyFill="1" applyBorder="1" applyAlignment="1">
      <alignment horizontal="center" vertical="center" wrapText="1"/>
    </xf>
    <xf numFmtId="170" fontId="5" fillId="33" borderId="14" xfId="0" applyNumberFormat="1" applyFont="1" applyFill="1" applyBorder="1" applyAlignment="1">
      <alignment horizontal="center" vertical="center" wrapText="1"/>
    </xf>
    <xf numFmtId="170" fontId="5" fillId="33" borderId="15" xfId="0" applyNumberFormat="1" applyFont="1" applyFill="1" applyBorder="1" applyAlignment="1">
      <alignment horizontal="center" vertical="center" wrapText="1"/>
    </xf>
    <xf numFmtId="170" fontId="5" fillId="33" borderId="17" xfId="0" applyNumberFormat="1" applyFont="1" applyFill="1" applyBorder="1" applyAlignment="1">
      <alignment horizontal="center" vertical="center" wrapText="1"/>
    </xf>
    <xf numFmtId="49" fontId="8" fillId="0" borderId="14" xfId="0" applyNumberFormat="1" applyFont="1" applyBorder="1" applyAlignment="1">
      <alignment horizontal="left" vertical="center" wrapText="1"/>
    </xf>
    <xf numFmtId="49" fontId="8" fillId="0" borderId="15" xfId="0" applyNumberFormat="1" applyFont="1" applyBorder="1" applyAlignment="1">
      <alignment horizontal="left" vertical="center" wrapText="1"/>
    </xf>
    <xf numFmtId="49" fontId="8" fillId="0" borderId="17" xfId="0" applyNumberFormat="1" applyFont="1" applyBorder="1" applyAlignment="1">
      <alignment horizontal="left" vertical="center" wrapText="1"/>
    </xf>
    <xf numFmtId="49" fontId="5" fillId="0" borderId="3" xfId="0" applyNumberFormat="1" applyFont="1" applyBorder="1" applyAlignment="1">
      <alignment horizontal="left" vertical="center" wrapText="1"/>
    </xf>
    <xf numFmtId="0" fontId="6" fillId="33" borderId="16" xfId="0" applyFont="1" applyFill="1" applyBorder="1" applyAlignment="1">
      <alignment horizontal="center" vertical="center" wrapText="1" shrinkToFit="1"/>
    </xf>
    <xf numFmtId="0" fontId="6" fillId="33" borderId="19" xfId="0" applyFont="1" applyFill="1" applyBorder="1" applyAlignment="1">
      <alignment horizontal="center" vertical="center" wrapText="1" shrinkToFit="1"/>
    </xf>
    <xf numFmtId="0" fontId="6" fillId="33" borderId="20" xfId="0" applyFont="1" applyFill="1" applyBorder="1" applyAlignment="1">
      <alignment horizontal="center" vertical="center" wrapText="1" shrinkToFit="1"/>
    </xf>
    <xf numFmtId="0" fontId="6" fillId="33" borderId="46" xfId="0" applyFont="1" applyFill="1" applyBorder="1" applyAlignment="1">
      <alignment horizontal="center" vertical="center" wrapText="1" shrinkToFit="1"/>
    </xf>
    <xf numFmtId="0" fontId="6" fillId="33" borderId="0" xfId="0" applyFont="1" applyFill="1" applyAlignment="1">
      <alignment horizontal="center" vertical="center" wrapText="1" shrinkToFit="1"/>
    </xf>
    <xf numFmtId="0" fontId="6" fillId="33" borderId="47" xfId="0" applyFont="1" applyFill="1" applyBorder="1" applyAlignment="1">
      <alignment horizontal="center" vertical="center" wrapText="1" shrinkToFit="1"/>
    </xf>
    <xf numFmtId="0" fontId="6" fillId="33" borderId="60" xfId="0" applyFont="1" applyFill="1" applyBorder="1" applyAlignment="1">
      <alignment horizontal="center" vertical="center" wrapText="1" shrinkToFit="1"/>
    </xf>
    <xf numFmtId="0" fontId="6" fillId="33" borderId="13" xfId="0" applyFont="1" applyFill="1" applyBorder="1" applyAlignment="1">
      <alignment horizontal="center" vertical="center" wrapText="1" shrinkToFit="1"/>
    </xf>
    <xf numFmtId="0" fontId="6" fillId="33" borderId="61" xfId="0" applyFont="1" applyFill="1" applyBorder="1" applyAlignment="1">
      <alignment horizontal="center" vertical="center" wrapText="1" shrinkToFit="1"/>
    </xf>
    <xf numFmtId="0" fontId="6" fillId="33" borderId="3" xfId="246" applyFont="1" applyFill="1" applyBorder="1" applyAlignment="1">
      <alignment horizontal="center" vertical="center" wrapText="1"/>
    </xf>
    <xf numFmtId="170" fontId="6" fillId="33" borderId="15" xfId="0" applyNumberFormat="1" applyFont="1" applyFill="1" applyBorder="1" applyAlignment="1">
      <alignment horizontal="center" vertical="center" wrapText="1"/>
    </xf>
    <xf numFmtId="49" fontId="5" fillId="0" borderId="14" xfId="0" applyNumberFormat="1" applyFont="1" applyBorder="1" applyAlignment="1">
      <alignment vertical="center" wrapText="1"/>
    </xf>
    <xf numFmtId="49" fontId="5" fillId="0" borderId="15" xfId="0" applyNumberFormat="1" applyFont="1" applyBorder="1" applyAlignment="1">
      <alignment vertical="center" wrapText="1"/>
    </xf>
    <xf numFmtId="49" fontId="5" fillId="0" borderId="17" xfId="0" applyNumberFormat="1" applyFont="1" applyBorder="1" applyAlignment="1">
      <alignment vertical="center" wrapText="1"/>
    </xf>
    <xf numFmtId="178" fontId="6" fillId="33" borderId="15" xfId="0" applyNumberFormat="1" applyFont="1" applyFill="1" applyBorder="1" applyAlignment="1">
      <alignment horizontal="center" vertical="center" wrapText="1"/>
    </xf>
    <xf numFmtId="178" fontId="5" fillId="33" borderId="14" xfId="0" applyNumberFormat="1" applyFont="1" applyFill="1" applyBorder="1" applyAlignment="1">
      <alignment horizontal="center" vertical="center" wrapText="1"/>
    </xf>
    <xf numFmtId="178" fontId="5" fillId="33" borderId="15" xfId="0" applyNumberFormat="1" applyFont="1" applyFill="1" applyBorder="1" applyAlignment="1">
      <alignment horizontal="center" vertical="center" wrapText="1"/>
    </xf>
    <xf numFmtId="178" fontId="5" fillId="33" borderId="17" xfId="0" applyNumberFormat="1" applyFont="1" applyFill="1" applyBorder="1" applyAlignment="1">
      <alignment horizontal="center" vertical="center" wrapText="1"/>
    </xf>
    <xf numFmtId="0" fontId="13" fillId="33" borderId="14" xfId="0" applyFont="1" applyFill="1" applyBorder="1" applyAlignment="1">
      <alignment horizontal="left" vertical="center" wrapText="1"/>
    </xf>
    <xf numFmtId="0" fontId="13" fillId="33" borderId="15" xfId="0" applyFont="1" applyFill="1" applyBorder="1" applyAlignment="1">
      <alignment horizontal="left" vertical="center" wrapText="1"/>
    </xf>
    <xf numFmtId="0" fontId="13" fillId="33" borderId="17" xfId="0" applyFont="1" applyFill="1" applyBorder="1" applyAlignment="1">
      <alignment horizontal="left" vertical="center" wrapText="1"/>
    </xf>
    <xf numFmtId="49" fontId="13" fillId="0" borderId="3" xfId="0" applyNumberFormat="1" applyFont="1" applyBorder="1" applyAlignment="1">
      <alignment horizontal="center" vertical="center" wrapText="1"/>
    </xf>
    <xf numFmtId="49" fontId="6" fillId="0" borderId="3" xfId="0" applyNumberFormat="1" applyFont="1" applyBorder="1" applyAlignment="1">
      <alignment horizontal="left" vertical="center" wrapText="1"/>
    </xf>
    <xf numFmtId="178" fontId="6" fillId="33" borderId="3" xfId="0" applyNumberFormat="1" applyFont="1" applyFill="1" applyBorder="1" applyAlignment="1">
      <alignment horizontal="center" vertical="center" wrapText="1"/>
    </xf>
    <xf numFmtId="0" fontId="6" fillId="33" borderId="3" xfId="0" applyFont="1" applyFill="1" applyBorder="1" applyAlignment="1">
      <alignment horizontal="center" vertical="center" wrapText="1" shrinkToFit="1"/>
    </xf>
    <xf numFmtId="169" fontId="6" fillId="29" borderId="14" xfId="0" applyNumberFormat="1" applyFont="1" applyFill="1" applyBorder="1" applyAlignment="1">
      <alignment horizontal="center" vertical="center" wrapText="1"/>
    </xf>
    <xf numFmtId="0" fontId="71" fillId="0" borderId="14" xfId="0" applyFont="1" applyBorder="1" applyAlignment="1">
      <alignment horizontal="center" vertical="center" wrapText="1"/>
    </xf>
    <xf numFmtId="0" fontId="71" fillId="0" borderId="17" xfId="0" applyFont="1" applyBorder="1" applyAlignment="1">
      <alignment horizontal="center" vertical="center" wrapText="1"/>
    </xf>
    <xf numFmtId="170" fontId="5" fillId="0" borderId="14" xfId="0" applyNumberFormat="1" applyFont="1" applyBorder="1" applyAlignment="1">
      <alignment horizontal="center" vertical="center" wrapText="1"/>
    </xf>
    <xf numFmtId="170" fontId="5" fillId="0" borderId="17" xfId="0" applyNumberFormat="1" applyFont="1" applyBorder="1" applyAlignment="1">
      <alignment horizontal="center" vertical="center" wrapText="1"/>
    </xf>
    <xf numFmtId="170" fontId="5" fillId="0" borderId="3" xfId="0" applyNumberFormat="1" applyFont="1" applyBorder="1" applyAlignment="1">
      <alignment horizontal="center" vertical="center" wrapText="1"/>
    </xf>
    <xf numFmtId="49" fontId="5" fillId="0" borderId="3" xfId="0" applyNumberFormat="1" applyFont="1" applyBorder="1" applyAlignment="1">
      <alignment horizontal="center" vertical="center" wrapText="1"/>
    </xf>
    <xf numFmtId="170" fontId="6" fillId="0" borderId="15" xfId="0" applyNumberFormat="1" applyFont="1" applyBorder="1" applyAlignment="1">
      <alignment horizontal="center" vertical="center" wrapText="1"/>
    </xf>
    <xf numFmtId="170" fontId="81" fillId="0" borderId="3" xfId="0" applyNumberFormat="1" applyFont="1" applyBorder="1" applyAlignment="1">
      <alignment horizontal="center" vertical="center" wrapText="1"/>
    </xf>
    <xf numFmtId="49" fontId="8" fillId="0" borderId="3" xfId="0" applyNumberFormat="1" applyFont="1" applyBorder="1" applyAlignment="1">
      <alignment horizontal="left" vertical="center" wrapText="1"/>
    </xf>
    <xf numFmtId="0" fontId="7" fillId="33" borderId="14" xfId="0" applyFont="1" applyFill="1" applyBorder="1" applyAlignment="1">
      <alignment horizontal="left" vertical="center" wrapText="1"/>
    </xf>
    <xf numFmtId="0" fontId="7" fillId="33" borderId="15" xfId="0" applyFont="1" applyFill="1" applyBorder="1" applyAlignment="1">
      <alignment horizontal="left" vertical="center" wrapText="1"/>
    </xf>
    <xf numFmtId="0" fontId="7" fillId="33" borderId="17" xfId="0" applyFont="1" applyFill="1" applyBorder="1" applyAlignment="1">
      <alignment horizontal="left" vertical="center" wrapText="1"/>
    </xf>
    <xf numFmtId="49" fontId="6" fillId="0" borderId="3" xfId="0" applyNumberFormat="1" applyFont="1" applyBorder="1" applyAlignment="1">
      <alignment horizontal="center" vertical="center" wrapText="1"/>
    </xf>
    <xf numFmtId="3" fontId="6" fillId="0" borderId="14" xfId="0" applyNumberFormat="1" applyFont="1" applyBorder="1" applyAlignment="1">
      <alignment horizontal="center" vertical="center" wrapText="1"/>
    </xf>
    <xf numFmtId="3" fontId="6" fillId="0" borderId="17" xfId="0" applyNumberFormat="1" applyFont="1" applyBorder="1" applyAlignment="1">
      <alignment horizontal="center" vertical="center" wrapText="1"/>
    </xf>
    <xf numFmtId="49" fontId="11" fillId="0" borderId="3" xfId="0" applyNumberFormat="1" applyFont="1" applyBorder="1" applyAlignment="1">
      <alignment horizontal="left" vertical="center" wrapText="1"/>
    </xf>
    <xf numFmtId="178" fontId="6" fillId="29" borderId="14" xfId="0" applyNumberFormat="1" applyFont="1" applyFill="1" applyBorder="1" applyAlignment="1">
      <alignment horizontal="center" vertical="center" wrapText="1"/>
    </xf>
    <xf numFmtId="178" fontId="6" fillId="29" borderId="17" xfId="0" applyNumberFormat="1" applyFont="1" applyFill="1" applyBorder="1" applyAlignment="1">
      <alignment horizontal="center" vertical="center" wrapText="1"/>
    </xf>
    <xf numFmtId="0" fontId="6" fillId="0" borderId="0" xfId="0" applyFont="1" applyAlignment="1">
      <alignment horizontal="right" vertical="center" wrapText="1"/>
    </xf>
    <xf numFmtId="0" fontId="0" fillId="0" borderId="0" xfId="0" applyAlignment="1">
      <alignment horizontal="right" vertical="center" wrapText="1"/>
    </xf>
    <xf numFmtId="179" fontId="6" fillId="29" borderId="14" xfId="0" applyNumberFormat="1" applyFont="1" applyFill="1" applyBorder="1" applyAlignment="1">
      <alignment horizontal="center" vertical="center" wrapText="1"/>
    </xf>
    <xf numFmtId="179" fontId="6" fillId="29" borderId="15" xfId="0" applyNumberFormat="1" applyFont="1" applyFill="1" applyBorder="1" applyAlignment="1">
      <alignment horizontal="center" vertical="center" wrapText="1"/>
    </xf>
    <xf numFmtId="179" fontId="6" fillId="29" borderId="17" xfId="0" applyNumberFormat="1" applyFont="1" applyFill="1" applyBorder="1" applyAlignment="1">
      <alignment horizontal="center" vertical="center" wrapText="1"/>
    </xf>
    <xf numFmtId="179" fontId="11" fillId="0" borderId="3" xfId="0" applyNumberFormat="1" applyFont="1" applyBorder="1" applyAlignment="1">
      <alignment horizontal="center" vertical="center" wrapText="1"/>
    </xf>
    <xf numFmtId="177" fontId="11" fillId="0" borderId="3" xfId="0" applyNumberFormat="1" applyFont="1" applyBorder="1" applyAlignment="1">
      <alignment horizontal="center" vertical="center" wrapText="1"/>
    </xf>
    <xf numFmtId="179" fontId="11" fillId="29" borderId="3" xfId="0" applyNumberFormat="1" applyFont="1" applyFill="1" applyBorder="1" applyAlignment="1">
      <alignment horizontal="center" vertical="center" wrapText="1"/>
    </xf>
    <xf numFmtId="0" fontId="11" fillId="0" borderId="14" xfId="0" applyFont="1" applyBorder="1" applyAlignment="1">
      <alignment horizontal="center" vertical="center" wrapText="1"/>
    </xf>
    <xf numFmtId="0" fontId="11" fillId="0" borderId="15" xfId="0" applyFont="1" applyBorder="1" applyAlignment="1">
      <alignment horizontal="center" vertical="center" wrapText="1"/>
    </xf>
    <xf numFmtId="0" fontId="11" fillId="0" borderId="17" xfId="0" applyFont="1" applyBorder="1" applyAlignment="1">
      <alignment horizontal="center" vertical="center" wrapText="1"/>
    </xf>
    <xf numFmtId="49" fontId="11" fillId="0" borderId="14" xfId="0" applyNumberFormat="1" applyFont="1" applyBorder="1" applyAlignment="1">
      <alignment horizontal="left" vertical="center" wrapText="1"/>
    </xf>
    <xf numFmtId="49" fontId="11" fillId="0" borderId="15" xfId="0" applyNumberFormat="1" applyFont="1" applyBorder="1" applyAlignment="1">
      <alignment horizontal="left" vertical="center" wrapText="1"/>
    </xf>
    <xf numFmtId="49" fontId="11" fillId="0" borderId="17" xfId="0" applyNumberFormat="1" applyFont="1" applyBorder="1" applyAlignment="1">
      <alignment horizontal="left" vertical="center" wrapText="1"/>
    </xf>
    <xf numFmtId="179" fontId="11" fillId="0" borderId="14" xfId="0" applyNumberFormat="1" applyFont="1" applyBorder="1" applyAlignment="1">
      <alignment horizontal="center" vertical="center" wrapText="1"/>
    </xf>
    <xf numFmtId="179" fontId="11" fillId="0" borderId="15" xfId="0" applyNumberFormat="1" applyFont="1" applyBorder="1" applyAlignment="1">
      <alignment horizontal="center" vertical="center" wrapText="1"/>
    </xf>
    <xf numFmtId="179" fontId="11" fillId="0" borderId="17" xfId="0" applyNumberFormat="1" applyFont="1" applyBorder="1" applyAlignment="1">
      <alignment horizontal="center" vertical="center" wrapText="1"/>
    </xf>
    <xf numFmtId="179" fontId="11" fillId="29" borderId="14" xfId="0" applyNumberFormat="1" applyFont="1" applyFill="1" applyBorder="1" applyAlignment="1">
      <alignment horizontal="center" vertical="center" wrapText="1"/>
    </xf>
    <xf numFmtId="179" fontId="11" fillId="29" borderId="15" xfId="0" applyNumberFormat="1" applyFont="1" applyFill="1" applyBorder="1" applyAlignment="1">
      <alignment horizontal="center" vertical="center" wrapText="1"/>
    </xf>
    <xf numFmtId="179" fontId="11" fillId="29" borderId="17" xfId="0" applyNumberFormat="1" applyFont="1" applyFill="1" applyBorder="1" applyAlignment="1">
      <alignment horizontal="center" vertical="center" wrapText="1"/>
    </xf>
    <xf numFmtId="0" fontId="6" fillId="0" borderId="14" xfId="0" applyFont="1" applyBorder="1" applyAlignment="1">
      <alignment horizontal="center" vertical="center" wrapText="1" shrinkToFit="1"/>
    </xf>
    <xf numFmtId="0" fontId="6" fillId="0" borderId="15" xfId="0" applyFont="1" applyBorder="1" applyAlignment="1">
      <alignment horizontal="center" vertical="center" wrapText="1" shrinkToFit="1"/>
    </xf>
    <xf numFmtId="0" fontId="6" fillId="0" borderId="17" xfId="0" applyFont="1" applyBorder="1" applyAlignment="1">
      <alignment horizontal="center" vertical="center" wrapText="1" shrinkToFit="1"/>
    </xf>
    <xf numFmtId="0" fontId="13" fillId="0" borderId="15"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61" xfId="0" applyFont="1" applyBorder="1" applyAlignment="1">
      <alignment horizontal="center" vertical="center" wrapText="1"/>
    </xf>
    <xf numFmtId="0" fontId="71" fillId="0" borderId="28" xfId="0" applyFont="1" applyBorder="1" applyAlignment="1">
      <alignment horizontal="center" vertical="center" wrapText="1" shrinkToFit="1"/>
    </xf>
    <xf numFmtId="0" fontId="71" fillId="0" borderId="21" xfId="0" applyFont="1" applyBorder="1" applyAlignment="1">
      <alignment horizontal="center" vertical="center" wrapText="1" shrinkToFit="1"/>
    </xf>
    <xf numFmtId="0" fontId="13" fillId="0" borderId="14" xfId="0" applyFont="1" applyBorder="1" applyAlignment="1">
      <alignment horizontal="center" vertical="center"/>
    </xf>
    <xf numFmtId="0" fontId="13" fillId="0" borderId="15" xfId="0" applyFont="1" applyBorder="1" applyAlignment="1">
      <alignment horizontal="center" vertical="center"/>
    </xf>
    <xf numFmtId="0" fontId="13" fillId="0" borderId="17" xfId="0" applyFont="1" applyBorder="1" applyAlignment="1">
      <alignment horizontal="center" vertical="center"/>
    </xf>
    <xf numFmtId="0" fontId="11" fillId="0" borderId="3" xfId="0" applyFont="1" applyBorder="1" applyAlignment="1">
      <alignment horizontal="center" vertical="center"/>
    </xf>
    <xf numFmtId="4" fontId="71" fillId="0" borderId="3" xfId="0" applyNumberFormat="1" applyFont="1" applyBorder="1" applyAlignment="1">
      <alignment horizontal="center" vertical="center" wrapText="1"/>
    </xf>
    <xf numFmtId="3" fontId="6" fillId="0" borderId="14" xfId="0" applyNumberFormat="1" applyFont="1" applyBorder="1" applyAlignment="1">
      <alignment horizontal="left" vertical="center" wrapText="1"/>
    </xf>
    <xf numFmtId="3" fontId="6" fillId="0" borderId="15" xfId="0" applyNumberFormat="1" applyFont="1" applyBorder="1" applyAlignment="1">
      <alignment horizontal="left" vertical="center" wrapText="1"/>
    </xf>
    <xf numFmtId="3" fontId="6" fillId="0" borderId="17" xfId="0" applyNumberFormat="1" applyFont="1" applyBorder="1" applyAlignment="1">
      <alignment horizontal="left" vertical="center" wrapText="1"/>
    </xf>
    <xf numFmtId="178" fontId="6" fillId="0" borderId="3" xfId="0" applyNumberFormat="1" applyFont="1" applyBorder="1" applyAlignment="1">
      <alignment horizontal="center" vertical="center" wrapText="1"/>
    </xf>
    <xf numFmtId="178" fontId="6" fillId="55" borderId="3" xfId="0" applyNumberFormat="1" applyFont="1" applyFill="1" applyBorder="1" applyAlignment="1">
      <alignment horizontal="center" vertical="center" wrapText="1"/>
    </xf>
    <xf numFmtId="0" fontId="11" fillId="0" borderId="16" xfId="0" applyFont="1" applyBorder="1" applyAlignment="1">
      <alignment horizontal="center" vertical="center" textRotation="90" wrapText="1"/>
    </xf>
    <xf numFmtId="0" fontId="11" fillId="0" borderId="20" xfId="0" applyFont="1" applyBorder="1" applyAlignment="1">
      <alignment horizontal="center" vertical="center" textRotation="90" wrapText="1"/>
    </xf>
    <xf numFmtId="0" fontId="11" fillId="0" borderId="60" xfId="0" applyFont="1" applyBorder="1" applyAlignment="1">
      <alignment horizontal="center" vertical="center" textRotation="90" wrapText="1"/>
    </xf>
    <xf numFmtId="0" fontId="11" fillId="0" borderId="61" xfId="0" applyFont="1" applyBorder="1" applyAlignment="1">
      <alignment horizontal="center" vertical="center" textRotation="90" wrapText="1"/>
    </xf>
    <xf numFmtId="0" fontId="13" fillId="0" borderId="3" xfId="246" applyFont="1" applyBorder="1" applyAlignment="1">
      <alignment horizontal="center" vertical="center" wrapText="1"/>
    </xf>
    <xf numFmtId="170" fontId="5" fillId="0" borderId="15" xfId="0" applyNumberFormat="1" applyFont="1" applyBorder="1" applyAlignment="1">
      <alignment horizontal="center" vertical="center" wrapText="1"/>
    </xf>
    <xf numFmtId="178" fontId="6" fillId="33" borderId="14" xfId="0" applyNumberFormat="1" applyFont="1" applyFill="1" applyBorder="1" applyAlignment="1">
      <alignment horizontal="left" vertical="center" wrapText="1" indent="1"/>
    </xf>
    <xf numFmtId="178" fontId="6" fillId="33" borderId="15" xfId="0" applyNumberFormat="1" applyFont="1" applyFill="1" applyBorder="1" applyAlignment="1">
      <alignment horizontal="left" vertical="center" wrapText="1" indent="1"/>
    </xf>
    <xf numFmtId="178" fontId="6" fillId="33" borderId="17" xfId="0" applyNumberFormat="1" applyFont="1" applyFill="1" applyBorder="1" applyAlignment="1">
      <alignment horizontal="left" vertical="center" wrapText="1" indent="1"/>
    </xf>
    <xf numFmtId="170" fontId="6" fillId="0" borderId="0" xfId="0" applyNumberFormat="1" applyFont="1" applyAlignment="1">
      <alignment horizontal="center" vertical="center"/>
    </xf>
    <xf numFmtId="182" fontId="81" fillId="33" borderId="0" xfId="0" applyNumberFormat="1" applyFont="1" applyFill="1" applyAlignment="1">
      <alignment horizontal="center" vertical="center"/>
    </xf>
    <xf numFmtId="170" fontId="5" fillId="0" borderId="21" xfId="0" applyNumberFormat="1" applyFont="1" applyBorder="1" applyAlignment="1">
      <alignment horizontal="center" vertical="center" wrapText="1"/>
    </xf>
    <xf numFmtId="0" fontId="6" fillId="33" borderId="0" xfId="0" applyFont="1" applyFill="1" applyAlignment="1">
      <alignment horizontal="center" vertical="center"/>
    </xf>
    <xf numFmtId="170" fontId="6" fillId="33" borderId="0" xfId="0" applyNumberFormat="1" applyFont="1" applyFill="1" applyAlignment="1">
      <alignment horizontal="center" vertical="center"/>
    </xf>
    <xf numFmtId="170" fontId="6" fillId="0" borderId="16" xfId="0" applyNumberFormat="1" applyFont="1" applyBorder="1" applyAlignment="1">
      <alignment horizontal="center" vertical="center" wrapText="1"/>
    </xf>
    <xf numFmtId="170" fontId="6" fillId="0" borderId="20" xfId="0" applyNumberFormat="1" applyFont="1" applyBorder="1" applyAlignment="1">
      <alignment horizontal="center" vertical="center" wrapText="1"/>
    </xf>
    <xf numFmtId="0" fontId="0" fillId="0" borderId="0" xfId="0" applyAlignment="1">
      <alignment horizontal="center" vertical="center" wrapText="1"/>
    </xf>
    <xf numFmtId="0" fontId="76" fillId="33" borderId="14" xfId="0" applyFont="1" applyFill="1" applyBorder="1" applyAlignment="1">
      <alignment horizontal="left" vertical="center" wrapText="1"/>
    </xf>
    <xf numFmtId="0" fontId="76" fillId="33" borderId="15" xfId="0" applyFont="1" applyFill="1" applyBorder="1" applyAlignment="1">
      <alignment horizontal="left" vertical="center" wrapText="1"/>
    </xf>
    <xf numFmtId="0" fontId="76" fillId="33" borderId="17" xfId="0" applyFont="1" applyFill="1" applyBorder="1" applyAlignment="1">
      <alignment horizontal="left" vertical="center" wrapText="1"/>
    </xf>
    <xf numFmtId="0" fontId="5" fillId="0" borderId="13" xfId="0" applyFont="1" applyBorder="1" applyAlignment="1">
      <alignment horizontal="left" vertical="center" wrapText="1"/>
    </xf>
    <xf numFmtId="0" fontId="0" fillId="0" borderId="13" xfId="0" applyBorder="1" applyAlignment="1">
      <alignment horizontal="left" vertical="center"/>
    </xf>
    <xf numFmtId="3" fontId="5" fillId="0" borderId="21" xfId="0" applyNumberFormat="1" applyFont="1" applyBorder="1" applyAlignment="1">
      <alignment horizontal="left" vertical="center" wrapText="1"/>
    </xf>
    <xf numFmtId="0" fontId="76" fillId="33" borderId="16" xfId="0" applyFont="1" applyFill="1" applyBorder="1" applyAlignment="1">
      <alignment horizontal="left" vertical="center" wrapText="1"/>
    </xf>
    <xf numFmtId="0" fontId="76" fillId="33" borderId="19" xfId="0" applyFont="1" applyFill="1" applyBorder="1" applyAlignment="1">
      <alignment horizontal="left" vertical="center" wrapText="1"/>
    </xf>
    <xf numFmtId="0" fontId="76" fillId="33" borderId="20" xfId="0" applyFont="1" applyFill="1" applyBorder="1" applyAlignment="1">
      <alignment horizontal="left" vertical="center" wrapText="1"/>
    </xf>
    <xf numFmtId="178" fontId="6" fillId="33" borderId="16" xfId="0" applyNumberFormat="1" applyFont="1" applyFill="1" applyBorder="1" applyAlignment="1">
      <alignment horizontal="center" vertical="center" wrapText="1"/>
    </xf>
    <xf numFmtId="178" fontId="6" fillId="33" borderId="19" xfId="0" applyNumberFormat="1" applyFont="1" applyFill="1" applyBorder="1" applyAlignment="1">
      <alignment horizontal="center" vertical="center" wrapText="1"/>
    </xf>
    <xf numFmtId="178" fontId="6" fillId="33" borderId="20" xfId="0" applyNumberFormat="1" applyFont="1" applyFill="1" applyBorder="1" applyAlignment="1">
      <alignment horizontal="center" vertical="center" wrapText="1"/>
    </xf>
    <xf numFmtId="178" fontId="5" fillId="33" borderId="60" xfId="0" applyNumberFormat="1" applyFont="1" applyFill="1" applyBorder="1" applyAlignment="1">
      <alignment horizontal="center" vertical="center" wrapText="1"/>
    </xf>
    <xf numFmtId="178" fontId="5" fillId="33" borderId="13" xfId="0" applyNumberFormat="1" applyFont="1" applyFill="1" applyBorder="1" applyAlignment="1">
      <alignment horizontal="center" vertical="center" wrapText="1"/>
    </xf>
    <xf numFmtId="178" fontId="5" fillId="33" borderId="61" xfId="0" applyNumberFormat="1" applyFont="1" applyFill="1" applyBorder="1" applyAlignment="1">
      <alignment horizontal="center" vertical="center" wrapText="1"/>
    </xf>
    <xf numFmtId="170" fontId="5" fillId="33" borderId="21" xfId="0" applyNumberFormat="1" applyFont="1" applyFill="1" applyBorder="1" applyAlignment="1">
      <alignment horizontal="center" vertical="center" wrapText="1"/>
    </xf>
  </cellXfs>
  <cellStyles count="368">
    <cellStyle name="_Fakt_2" xfId="1"/>
    <cellStyle name="_rozhufrovka 2009" xfId="2"/>
    <cellStyle name="_АТиСТ 5а МТР липень 2008" xfId="3"/>
    <cellStyle name="_ПРГК сводний_" xfId="4"/>
    <cellStyle name="_УТГ" xfId="5"/>
    <cellStyle name="_Феодосия 5а МТР липень 2008" xfId="6"/>
    <cellStyle name="_ХТГ довідка." xfId="7"/>
    <cellStyle name="_Шебелинка 5а МТР липень 2008" xfId="8"/>
    <cellStyle name="20% - Accent1" xfId="9"/>
    <cellStyle name="20% - Accent2" xfId="10"/>
    <cellStyle name="20% - Accent3" xfId="11"/>
    <cellStyle name="20% - Accent4" xfId="12"/>
    <cellStyle name="20% - Accent5" xfId="13"/>
    <cellStyle name="20% - Accent6" xfId="14"/>
    <cellStyle name="20% - Акцент1 2" xfId="15"/>
    <cellStyle name="20% - Акцент1 3" xfId="16"/>
    <cellStyle name="20% - Акцент2 2" xfId="17"/>
    <cellStyle name="20% - Акцент2 3" xfId="18"/>
    <cellStyle name="20% - Акцент3 2" xfId="19"/>
    <cellStyle name="20% - Акцент3 3" xfId="20"/>
    <cellStyle name="20% - Акцент4 2" xfId="21"/>
    <cellStyle name="20% - Акцент4 3" xfId="22"/>
    <cellStyle name="20% - Акцент5 2" xfId="23"/>
    <cellStyle name="20% - Акцент5 3" xfId="24"/>
    <cellStyle name="20% - Акцент6 2" xfId="25"/>
    <cellStyle name="20% - Акцент6 3" xfId="26"/>
    <cellStyle name="40% - Accent1" xfId="27"/>
    <cellStyle name="40% - Accent2" xfId="28"/>
    <cellStyle name="40% - Accent3" xfId="29"/>
    <cellStyle name="40% - Accent4" xfId="30"/>
    <cellStyle name="40% - Accent5" xfId="31"/>
    <cellStyle name="40% - Accent6" xfId="32"/>
    <cellStyle name="40% - Акцент1 2" xfId="33"/>
    <cellStyle name="40% - Акцент1 3" xfId="34"/>
    <cellStyle name="40% - Акцент2 2" xfId="35"/>
    <cellStyle name="40% - Акцент2 3" xfId="36"/>
    <cellStyle name="40% - Акцент3 2" xfId="37"/>
    <cellStyle name="40% - Акцент3 3" xfId="38"/>
    <cellStyle name="40% - Акцент4 2" xfId="39"/>
    <cellStyle name="40% - Акцент4 3" xfId="40"/>
    <cellStyle name="40% - Акцент5 2" xfId="41"/>
    <cellStyle name="40% - Акцент5 3" xfId="42"/>
    <cellStyle name="40% - Акцент6 2" xfId="43"/>
    <cellStyle name="40% - Акцент6 3" xfId="44"/>
    <cellStyle name="60% - Accent1" xfId="45"/>
    <cellStyle name="60% - Accent2" xfId="46"/>
    <cellStyle name="60% - Accent3" xfId="47"/>
    <cellStyle name="60% - Accent4" xfId="48"/>
    <cellStyle name="60% - Accent5" xfId="49"/>
    <cellStyle name="60% - Accent6" xfId="50"/>
    <cellStyle name="60% - Акцент1 2" xfId="51"/>
    <cellStyle name="60% - Акцент1 3" xfId="52"/>
    <cellStyle name="60% - Акцент2 2" xfId="53"/>
    <cellStyle name="60% - Акцент2 3" xfId="54"/>
    <cellStyle name="60% - Акцент3 2" xfId="55"/>
    <cellStyle name="60% - Акцент3 3" xfId="56"/>
    <cellStyle name="60% - Акцент4 2" xfId="57"/>
    <cellStyle name="60% - Акцент4 3" xfId="58"/>
    <cellStyle name="60% - Акцент5 2" xfId="59"/>
    <cellStyle name="60% - Акцент5 3" xfId="60"/>
    <cellStyle name="60% - Акцент6 2" xfId="61"/>
    <cellStyle name="60% - Акцент6 3" xfId="62"/>
    <cellStyle name="Accent1" xfId="63"/>
    <cellStyle name="Accent2" xfId="64"/>
    <cellStyle name="Accent3" xfId="65"/>
    <cellStyle name="Accent4" xfId="66"/>
    <cellStyle name="Accent5" xfId="67"/>
    <cellStyle name="Accent6" xfId="68"/>
    <cellStyle name="Bad" xfId="69"/>
    <cellStyle name="Calculation" xfId="70"/>
    <cellStyle name="Check Cell" xfId="71"/>
    <cellStyle name="Column-Header" xfId="72"/>
    <cellStyle name="Column-Header 2" xfId="73"/>
    <cellStyle name="Column-Header 3" xfId="74"/>
    <cellStyle name="Column-Header 4" xfId="75"/>
    <cellStyle name="Column-Header 5" xfId="76"/>
    <cellStyle name="Column-Header 6" xfId="77"/>
    <cellStyle name="Column-Header 7" xfId="78"/>
    <cellStyle name="Column-Header 7 2" xfId="79"/>
    <cellStyle name="Column-Header 8" xfId="80"/>
    <cellStyle name="Column-Header 8 2" xfId="81"/>
    <cellStyle name="Column-Header 9" xfId="82"/>
    <cellStyle name="Column-Header 9 2" xfId="83"/>
    <cellStyle name="Column-Header_Zvit rux-koshtiv 2010 Департамент " xfId="84"/>
    <cellStyle name="Comma_2005_03_15-Финансовый_БГ" xfId="85"/>
    <cellStyle name="Define-Column" xfId="86"/>
    <cellStyle name="Define-Column 10" xfId="87"/>
    <cellStyle name="Define-Column 2" xfId="88"/>
    <cellStyle name="Define-Column 3" xfId="89"/>
    <cellStyle name="Define-Column 4" xfId="90"/>
    <cellStyle name="Define-Column 5" xfId="91"/>
    <cellStyle name="Define-Column 6" xfId="92"/>
    <cellStyle name="Define-Column 7" xfId="93"/>
    <cellStyle name="Define-Column 7 2" xfId="94"/>
    <cellStyle name="Define-Column 7 3" xfId="95"/>
    <cellStyle name="Define-Column 8" xfId="96"/>
    <cellStyle name="Define-Column 8 2" xfId="97"/>
    <cellStyle name="Define-Column 8 3" xfId="98"/>
    <cellStyle name="Define-Column 9" xfId="99"/>
    <cellStyle name="Define-Column 9 2" xfId="100"/>
    <cellStyle name="Define-Column 9 3" xfId="101"/>
    <cellStyle name="Define-Column_Zvit rux-koshtiv 2010 Департамент " xfId="102"/>
    <cellStyle name="Explanatory Text" xfId="103"/>
    <cellStyle name="FS10" xfId="104"/>
    <cellStyle name="Good" xfId="105"/>
    <cellStyle name="Heading 1" xfId="106"/>
    <cellStyle name="Heading 2" xfId="107"/>
    <cellStyle name="Heading 3" xfId="108"/>
    <cellStyle name="Heading 4" xfId="109"/>
    <cellStyle name="Hyperlink 2" xfId="110"/>
    <cellStyle name="Input" xfId="111"/>
    <cellStyle name="Level0" xfId="112"/>
    <cellStyle name="Level0 10" xfId="113"/>
    <cellStyle name="Level0 2" xfId="114"/>
    <cellStyle name="Level0 2 2" xfId="115"/>
    <cellStyle name="Level0 3" xfId="116"/>
    <cellStyle name="Level0 3 2" xfId="117"/>
    <cellStyle name="Level0 4" xfId="118"/>
    <cellStyle name="Level0 4 2" xfId="119"/>
    <cellStyle name="Level0 5" xfId="120"/>
    <cellStyle name="Level0 6" xfId="121"/>
    <cellStyle name="Level0 7" xfId="122"/>
    <cellStyle name="Level0 7 2" xfId="123"/>
    <cellStyle name="Level0 7 3" xfId="124"/>
    <cellStyle name="Level0 8" xfId="125"/>
    <cellStyle name="Level0 8 2" xfId="126"/>
    <cellStyle name="Level0 8 3" xfId="127"/>
    <cellStyle name="Level0 9" xfId="128"/>
    <cellStyle name="Level0 9 2" xfId="129"/>
    <cellStyle name="Level0 9 3" xfId="130"/>
    <cellStyle name="Level0_Zvit rux-koshtiv 2010 Департамент " xfId="131"/>
    <cellStyle name="Level1" xfId="132"/>
    <cellStyle name="Level1 2" xfId="133"/>
    <cellStyle name="Level1-Numbers" xfId="134"/>
    <cellStyle name="Level1-Numbers 2" xfId="135"/>
    <cellStyle name="Level1-Numbers-Hide" xfId="136"/>
    <cellStyle name="Level2" xfId="137"/>
    <cellStyle name="Level2 2" xfId="138"/>
    <cellStyle name="Level2-Hide" xfId="139"/>
    <cellStyle name="Level2-Hide 2" xfId="140"/>
    <cellStyle name="Level2-Numbers" xfId="141"/>
    <cellStyle name="Level2-Numbers 2" xfId="142"/>
    <cellStyle name="Level2-Numbers-Hide" xfId="143"/>
    <cellStyle name="Level3" xfId="144"/>
    <cellStyle name="Level3 2" xfId="145"/>
    <cellStyle name="Level3 3" xfId="146"/>
    <cellStyle name="Level3_План департамент_2010_1207" xfId="147"/>
    <cellStyle name="Level3-Hide" xfId="148"/>
    <cellStyle name="Level3-Hide 2" xfId="149"/>
    <cellStyle name="Level3-Numbers" xfId="150"/>
    <cellStyle name="Level3-Numbers 2" xfId="151"/>
    <cellStyle name="Level3-Numbers 3" xfId="152"/>
    <cellStyle name="Level3-Numbers_План департамент_2010_1207" xfId="153"/>
    <cellStyle name="Level3-Numbers-Hide" xfId="154"/>
    <cellStyle name="Level4" xfId="155"/>
    <cellStyle name="Level4 2" xfId="156"/>
    <cellStyle name="Level4-Hide" xfId="157"/>
    <cellStyle name="Level4-Hide 2" xfId="158"/>
    <cellStyle name="Level4-Numbers" xfId="159"/>
    <cellStyle name="Level4-Numbers 2" xfId="160"/>
    <cellStyle name="Level4-Numbers-Hide" xfId="161"/>
    <cellStyle name="Level5" xfId="162"/>
    <cellStyle name="Level5 2" xfId="163"/>
    <cellStyle name="Level5-Hide" xfId="164"/>
    <cellStyle name="Level5-Hide 2" xfId="165"/>
    <cellStyle name="Level5-Numbers" xfId="166"/>
    <cellStyle name="Level5-Numbers 2" xfId="167"/>
    <cellStyle name="Level5-Numbers-Hide" xfId="168"/>
    <cellStyle name="Level6" xfId="169"/>
    <cellStyle name="Level6 2" xfId="170"/>
    <cellStyle name="Level6-Hide" xfId="171"/>
    <cellStyle name="Level6-Hide 2" xfId="172"/>
    <cellStyle name="Level6-Numbers" xfId="173"/>
    <cellStyle name="Level6-Numbers 2" xfId="174"/>
    <cellStyle name="Level7" xfId="175"/>
    <cellStyle name="Level7-Hide" xfId="176"/>
    <cellStyle name="Level7-Numbers" xfId="177"/>
    <cellStyle name="Linked Cell" xfId="178"/>
    <cellStyle name="Neutral" xfId="179"/>
    <cellStyle name="Normal 2" xfId="180"/>
    <cellStyle name="Normal_2005_03_15-Финансовый_БГ" xfId="181"/>
    <cellStyle name="Normal_GSE DCF_Model_31_07_09 final" xfId="182"/>
    <cellStyle name="Note" xfId="183"/>
    <cellStyle name="Number-Cells" xfId="184"/>
    <cellStyle name="Number-Cells-Column2" xfId="185"/>
    <cellStyle name="Number-Cells-Column5" xfId="186"/>
    <cellStyle name="Output" xfId="187"/>
    <cellStyle name="Row-Header" xfId="188"/>
    <cellStyle name="Row-Header 2" xfId="189"/>
    <cellStyle name="Title" xfId="190"/>
    <cellStyle name="Total" xfId="191"/>
    <cellStyle name="Warning Text" xfId="192"/>
    <cellStyle name="Акцент1 2" xfId="193"/>
    <cellStyle name="Акцент1 3" xfId="194"/>
    <cellStyle name="Акцент2 2" xfId="195"/>
    <cellStyle name="Акцент2 3" xfId="196"/>
    <cellStyle name="Акцент3 2" xfId="197"/>
    <cellStyle name="Акцент3 3" xfId="198"/>
    <cellStyle name="Акцент4 2" xfId="199"/>
    <cellStyle name="Акцент4 3" xfId="200"/>
    <cellStyle name="Акцент5 2" xfId="201"/>
    <cellStyle name="Акцент5 3" xfId="202"/>
    <cellStyle name="Акцент6 2" xfId="203"/>
    <cellStyle name="Акцент6 3" xfId="204"/>
    <cellStyle name="Ввод  2" xfId="205"/>
    <cellStyle name="Ввод  3" xfId="206"/>
    <cellStyle name="Вывод 2" xfId="207"/>
    <cellStyle name="Вывод 3" xfId="208"/>
    <cellStyle name="Вычисление 2" xfId="209"/>
    <cellStyle name="Вычисление 3" xfId="210"/>
    <cellStyle name="Денежный 2" xfId="211"/>
    <cellStyle name="Заголовок 1 2" xfId="212"/>
    <cellStyle name="Заголовок 1 3" xfId="213"/>
    <cellStyle name="Заголовок 2 2" xfId="214"/>
    <cellStyle name="Заголовок 2 3" xfId="215"/>
    <cellStyle name="Заголовок 3 2" xfId="216"/>
    <cellStyle name="Заголовок 3 3" xfId="217"/>
    <cellStyle name="Заголовок 4 2" xfId="218"/>
    <cellStyle name="Заголовок 4 3" xfId="219"/>
    <cellStyle name="Звичайний 2" xfId="220"/>
    <cellStyle name="Итог 2" xfId="221"/>
    <cellStyle name="Итог 3" xfId="222"/>
    <cellStyle name="Контрольная ячейка 2" xfId="223"/>
    <cellStyle name="Контрольная ячейка 3" xfId="224"/>
    <cellStyle name="Название 2" xfId="225"/>
    <cellStyle name="Название 3" xfId="226"/>
    <cellStyle name="Нейтральный 2" xfId="227"/>
    <cellStyle name="Нейтральный 3" xfId="228"/>
    <cellStyle name="Обычный" xfId="0" builtinId="0"/>
    <cellStyle name="Обычный 10" xfId="229"/>
    <cellStyle name="Обычный 11" xfId="230"/>
    <cellStyle name="Обычный 12" xfId="231"/>
    <cellStyle name="Обычный 13" xfId="232"/>
    <cellStyle name="Обычный 14" xfId="233"/>
    <cellStyle name="Обычный 15" xfId="234"/>
    <cellStyle name="Обычный 16" xfId="235"/>
    <cellStyle name="Обычный 17" xfId="236"/>
    <cellStyle name="Обычный 18" xfId="237"/>
    <cellStyle name="Обычный 2" xfId="238"/>
    <cellStyle name="Обычный 2 10" xfId="239"/>
    <cellStyle name="Обычный 2 11" xfId="240"/>
    <cellStyle name="Обычный 2 12" xfId="241"/>
    <cellStyle name="Обычный 2 13" xfId="242"/>
    <cellStyle name="Обычный 2 14" xfId="243"/>
    <cellStyle name="Обычный 2 15" xfId="244"/>
    <cellStyle name="Обычный 2 16" xfId="245"/>
    <cellStyle name="Обычный 2 2" xfId="246"/>
    <cellStyle name="Обычный 2 2 2" xfId="247"/>
    <cellStyle name="Обычный 2 2 3" xfId="248"/>
    <cellStyle name="Обычный 2 2 3 2" xfId="354"/>
    <cellStyle name="Обычный 2 2_Расшифровка прочих" xfId="249"/>
    <cellStyle name="Обычный 2 3" xfId="250"/>
    <cellStyle name="Обычный 2 4" xfId="251"/>
    <cellStyle name="Обычный 2 5" xfId="252"/>
    <cellStyle name="Обычный 2 6" xfId="253"/>
    <cellStyle name="Обычный 2 7" xfId="254"/>
    <cellStyle name="Обычный 2 8" xfId="255"/>
    <cellStyle name="Обычный 2 9" xfId="256"/>
    <cellStyle name="Обычный 2_2604-2010" xfId="257"/>
    <cellStyle name="Обычный 3" xfId="258"/>
    <cellStyle name="Обычный 3 10" xfId="259"/>
    <cellStyle name="Обычный 3 10 2" xfId="355"/>
    <cellStyle name="Обычный 3 11" xfId="260"/>
    <cellStyle name="Обычный 3 11 2" xfId="356"/>
    <cellStyle name="Обычный 3 12" xfId="261"/>
    <cellStyle name="Обычный 3 12 2" xfId="357"/>
    <cellStyle name="Обычный 3 13" xfId="262"/>
    <cellStyle name="Обычный 3 13 2" xfId="358"/>
    <cellStyle name="Обычный 3 14" xfId="263"/>
    <cellStyle name="Обычный 3 2" xfId="264"/>
    <cellStyle name="Обычный 3 2 2" xfId="359"/>
    <cellStyle name="Обычный 3 3" xfId="265"/>
    <cellStyle name="Обычный 3 3 2" xfId="360"/>
    <cellStyle name="Обычный 3 4" xfId="266"/>
    <cellStyle name="Обычный 3 4 2" xfId="361"/>
    <cellStyle name="Обычный 3 5" xfId="267"/>
    <cellStyle name="Обычный 3 5 2" xfId="362"/>
    <cellStyle name="Обычный 3 6" xfId="268"/>
    <cellStyle name="Обычный 3 6 2" xfId="363"/>
    <cellStyle name="Обычный 3 7" xfId="269"/>
    <cellStyle name="Обычный 3 7 2" xfId="364"/>
    <cellStyle name="Обычный 3 8" xfId="270"/>
    <cellStyle name="Обычный 3 8 2" xfId="365"/>
    <cellStyle name="Обычный 3 9" xfId="271"/>
    <cellStyle name="Обычный 3 9 2" xfId="366"/>
    <cellStyle name="Обычный 3_Дефицит_7 млрд_0608_бс" xfId="272"/>
    <cellStyle name="Обычный 4" xfId="273"/>
    <cellStyle name="Обычный 4 2" xfId="367"/>
    <cellStyle name="Обычный 5" xfId="274"/>
    <cellStyle name="Обычный 5 2" xfId="275"/>
    <cellStyle name="Обычный 6" xfId="276"/>
    <cellStyle name="Обычный 6 2" xfId="277"/>
    <cellStyle name="Обычный 6 3" xfId="278"/>
    <cellStyle name="Обычный 6 4" xfId="279"/>
    <cellStyle name="Обычный 6_Дефицит_7 млрд_0608_бс" xfId="280"/>
    <cellStyle name="Обычный 7" xfId="281"/>
    <cellStyle name="Обычный 7 2" xfId="282"/>
    <cellStyle name="Обычный 8" xfId="283"/>
    <cellStyle name="Обычный 9" xfId="284"/>
    <cellStyle name="Обычный 9 2" xfId="285"/>
    <cellStyle name="Плохой 2" xfId="286"/>
    <cellStyle name="Плохой 3" xfId="287"/>
    <cellStyle name="Пояснение 2" xfId="288"/>
    <cellStyle name="Пояснение 3" xfId="289"/>
    <cellStyle name="Примечание 2" xfId="290"/>
    <cellStyle name="Примечание 3" xfId="291"/>
    <cellStyle name="Процентный 2" xfId="292"/>
    <cellStyle name="Процентный 2 10" xfId="293"/>
    <cellStyle name="Процентный 2 11" xfId="294"/>
    <cellStyle name="Процентный 2 12" xfId="295"/>
    <cellStyle name="Процентный 2 13" xfId="296"/>
    <cellStyle name="Процентный 2 14" xfId="297"/>
    <cellStyle name="Процентный 2 15" xfId="298"/>
    <cellStyle name="Процентный 2 16" xfId="299"/>
    <cellStyle name="Процентный 2 2" xfId="300"/>
    <cellStyle name="Процентный 2 3" xfId="301"/>
    <cellStyle name="Процентный 2 4" xfId="302"/>
    <cellStyle name="Процентный 2 5" xfId="303"/>
    <cellStyle name="Процентный 2 6" xfId="304"/>
    <cellStyle name="Процентный 2 7" xfId="305"/>
    <cellStyle name="Процентный 2 8" xfId="306"/>
    <cellStyle name="Процентный 2 9" xfId="307"/>
    <cellStyle name="Процентный 3" xfId="308"/>
    <cellStyle name="Процентный 4" xfId="309"/>
    <cellStyle name="Процентный 4 2" xfId="310"/>
    <cellStyle name="Связанная ячейка 2" xfId="311"/>
    <cellStyle name="Связанная ячейка 3" xfId="312"/>
    <cellStyle name="Стиль 1" xfId="313"/>
    <cellStyle name="Стиль 1 2" xfId="314"/>
    <cellStyle name="Стиль 1 3" xfId="315"/>
    <cellStyle name="Стиль 1 4" xfId="316"/>
    <cellStyle name="Стиль 1 5" xfId="317"/>
    <cellStyle name="Стиль 1 6" xfId="318"/>
    <cellStyle name="Стиль 1 7" xfId="319"/>
    <cellStyle name="Текст предупреждения 2" xfId="320"/>
    <cellStyle name="Текст предупреждения 3" xfId="321"/>
    <cellStyle name="Тысячи [0]_1.62" xfId="322"/>
    <cellStyle name="Тысячи_1.62" xfId="323"/>
    <cellStyle name="Финансовый 2" xfId="324"/>
    <cellStyle name="Финансовый 2 10" xfId="325"/>
    <cellStyle name="Финансовый 2 11" xfId="326"/>
    <cellStyle name="Финансовый 2 12" xfId="327"/>
    <cellStyle name="Финансовый 2 13" xfId="328"/>
    <cellStyle name="Финансовый 2 14" xfId="329"/>
    <cellStyle name="Финансовый 2 15" xfId="330"/>
    <cellStyle name="Финансовый 2 16" xfId="331"/>
    <cellStyle name="Финансовый 2 17" xfId="332"/>
    <cellStyle name="Финансовый 2 2" xfId="333"/>
    <cellStyle name="Финансовый 2 3" xfId="334"/>
    <cellStyle name="Финансовый 2 4" xfId="335"/>
    <cellStyle name="Финансовый 2 5" xfId="336"/>
    <cellStyle name="Финансовый 2 6" xfId="337"/>
    <cellStyle name="Финансовый 2 7" xfId="338"/>
    <cellStyle name="Финансовый 2 8" xfId="339"/>
    <cellStyle name="Финансовый 2 9" xfId="340"/>
    <cellStyle name="Финансовый 3" xfId="341"/>
    <cellStyle name="Финансовый 3 2" xfId="342"/>
    <cellStyle name="Финансовый 4" xfId="343"/>
    <cellStyle name="Финансовый 4 2" xfId="344"/>
    <cellStyle name="Финансовый 4 3" xfId="345"/>
    <cellStyle name="Финансовый 5" xfId="346"/>
    <cellStyle name="Финансовый 6" xfId="347"/>
    <cellStyle name="Финансовый 7" xfId="348"/>
    <cellStyle name="Хороший 2" xfId="349"/>
    <cellStyle name="Хороший 3" xfId="350"/>
    <cellStyle name="числовой" xfId="351"/>
    <cellStyle name="Ю" xfId="352"/>
    <cellStyle name="Ю-FreeSet_10" xfId="353"/>
  </cellStyles>
  <dxfs count="0"/>
  <tableStyles count="0" defaultTableStyle="TableStyleMedium2" defaultPivotStyle="PivotStyleLight16"/>
  <colors>
    <mruColors>
      <color rgb="FFFFFF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26" Type="http://schemas.openxmlformats.org/officeDocument/2006/relationships/externalLink" Target="externalLinks/externalLink16.xml"/><Relationship Id="rId39" Type="http://schemas.openxmlformats.org/officeDocument/2006/relationships/externalLink" Target="externalLinks/externalLink29.xml"/><Relationship Id="rId3" Type="http://schemas.openxmlformats.org/officeDocument/2006/relationships/worksheet" Target="worksheets/sheet3.xml"/><Relationship Id="rId21" Type="http://schemas.openxmlformats.org/officeDocument/2006/relationships/externalLink" Target="externalLinks/externalLink11.xml"/><Relationship Id="rId34" Type="http://schemas.openxmlformats.org/officeDocument/2006/relationships/externalLink" Target="externalLinks/externalLink24.xml"/><Relationship Id="rId42" Type="http://schemas.openxmlformats.org/officeDocument/2006/relationships/externalLink" Target="externalLinks/externalLink32.xml"/><Relationship Id="rId47" Type="http://schemas.openxmlformats.org/officeDocument/2006/relationships/theme" Target="theme/theme1.xml"/><Relationship Id="rId50"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5" Type="http://schemas.openxmlformats.org/officeDocument/2006/relationships/externalLink" Target="externalLinks/externalLink15.xml"/><Relationship Id="rId33" Type="http://schemas.openxmlformats.org/officeDocument/2006/relationships/externalLink" Target="externalLinks/externalLink23.xml"/><Relationship Id="rId38" Type="http://schemas.openxmlformats.org/officeDocument/2006/relationships/externalLink" Target="externalLinks/externalLink28.xml"/><Relationship Id="rId46" Type="http://schemas.openxmlformats.org/officeDocument/2006/relationships/externalLink" Target="externalLinks/externalLink36.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externalLink" Target="externalLinks/externalLink10.xml"/><Relationship Id="rId29" Type="http://schemas.openxmlformats.org/officeDocument/2006/relationships/externalLink" Target="externalLinks/externalLink19.xml"/><Relationship Id="rId41" Type="http://schemas.openxmlformats.org/officeDocument/2006/relationships/externalLink" Target="externalLinks/externalLink3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24" Type="http://schemas.openxmlformats.org/officeDocument/2006/relationships/externalLink" Target="externalLinks/externalLink14.xml"/><Relationship Id="rId32" Type="http://schemas.openxmlformats.org/officeDocument/2006/relationships/externalLink" Target="externalLinks/externalLink22.xml"/><Relationship Id="rId37" Type="http://schemas.openxmlformats.org/officeDocument/2006/relationships/externalLink" Target="externalLinks/externalLink27.xml"/><Relationship Id="rId40" Type="http://schemas.openxmlformats.org/officeDocument/2006/relationships/externalLink" Target="externalLinks/externalLink30.xml"/><Relationship Id="rId45" Type="http://schemas.openxmlformats.org/officeDocument/2006/relationships/externalLink" Target="externalLinks/externalLink35.xml"/><Relationship Id="rId5" Type="http://schemas.openxmlformats.org/officeDocument/2006/relationships/worksheet" Target="worksheets/sheet5.xml"/><Relationship Id="rId15" Type="http://schemas.openxmlformats.org/officeDocument/2006/relationships/externalLink" Target="externalLinks/externalLink5.xml"/><Relationship Id="rId23" Type="http://schemas.openxmlformats.org/officeDocument/2006/relationships/externalLink" Target="externalLinks/externalLink13.xml"/><Relationship Id="rId28" Type="http://schemas.openxmlformats.org/officeDocument/2006/relationships/externalLink" Target="externalLinks/externalLink18.xml"/><Relationship Id="rId36" Type="http://schemas.openxmlformats.org/officeDocument/2006/relationships/externalLink" Target="externalLinks/externalLink26.xml"/><Relationship Id="rId49"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9.xml"/><Relationship Id="rId31" Type="http://schemas.openxmlformats.org/officeDocument/2006/relationships/externalLink" Target="externalLinks/externalLink21.xml"/><Relationship Id="rId44" Type="http://schemas.openxmlformats.org/officeDocument/2006/relationships/externalLink" Target="externalLinks/externalLink3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externalLink" Target="externalLinks/externalLink12.xml"/><Relationship Id="rId27" Type="http://schemas.openxmlformats.org/officeDocument/2006/relationships/externalLink" Target="externalLinks/externalLink17.xml"/><Relationship Id="rId30" Type="http://schemas.openxmlformats.org/officeDocument/2006/relationships/externalLink" Target="externalLinks/externalLink20.xml"/><Relationship Id="rId35" Type="http://schemas.openxmlformats.org/officeDocument/2006/relationships/externalLink" Target="externalLinks/externalLink25.xml"/><Relationship Id="rId43" Type="http://schemas.openxmlformats.org/officeDocument/2006/relationships/externalLink" Target="externalLinks/externalLink33.xml"/><Relationship Id="rId48" Type="http://schemas.openxmlformats.org/officeDocument/2006/relationships/styles" Target="styles.xml"/><Relationship Id="rId8" Type="http://schemas.openxmlformats.org/officeDocument/2006/relationships/worksheet" Target="worksheets/sheet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bank.gov.ua/WORK/S2/VICTOR/&#1042;&#1042;&#1055;/PIB.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www.bank.gov.ua/&#1052;&#1086;&#1080;%20&#1076;&#1086;&#1082;&#1091;&#1084;&#1077;&#1085;&#1090;&#1099;/Sergey/&#1055;&#1088;&#1086;&#1075;&#1085;&#1086;&#1079;/&#1056;&#1072;&#1073;&#1086;&#1095;&#1080;&#1077;%20&#1090;&#1072;&#1073;&#1083;&#1080;&#1094;&#1099;/new/zvedena11.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72rc2j\vera\DOCUME~1\Chirich\LOCALS~1\Temp\Rar$DI00.938\Dept\Plan\Exchange\!_Plan-2006\&#1042;&#1040;&#1058;%20&#1048;&#1074;&#1072;&#1085;&#1086;%20&#1092;&#1088;&#1072;&#1085;&#1082;&#1080;&#1074;&#1089;&#1100;&#1082;&#1075;&#1072;&#1079;\Dodatok1%2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72rc2j\vera\&#1052;&#1086;&#1080;%20&#1076;&#1086;&#1082;&#1091;&#1084;&#1077;&#1085;&#1090;&#1099;\Plan-2006_kons_rabota\Dept\Plan\Exchange\_________________________Plan_ZP\!_&#1055;&#1077;&#1095;&#1072;&#1090;&#1100;\&#1052;&#1058;&#1056;%20&#1074;&#1089;&#1077;%20-%20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D72rc2j\vera\Dept\Plan\Exchange\!_Plan-2006\&#1042;&#1040;&#1058;%20&#1048;&#1074;&#1072;&#1085;&#1086;%20&#1092;&#1088;&#1072;&#1085;&#1082;&#1080;&#1074;&#1089;&#1100;&#1082;&#1075;&#1072;&#1079;\Dodatok1%20.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Users\CPMSD23\Documents\&#1092;&#1110;&#1085;&#1087;&#1083;&#1072;&#1085;&#1080;\&#1060;&#1055;%202020\&#1060;&#1110;&#1085;.&#1087;&#1083;&#1072;&#1085;%20&#1086;&#1089;&#1090;&#1072;&#1090;&#1086;&#1095;&#1085;&#1080;&#1081;%20&#1074;&#1072;&#1088;&#1110;&#1072;&#1085;&#1090;\Ariadna\Sum_pok.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Nechiporenko\2007&#1053;&#1054;&#1042;\DOCUME~1\Chirich\LOCALS~1\Temp\Dept\Plan\Exchange\_________________________Plan_ZP\!_&#1055;&#1077;&#1095;&#1072;&#1090;&#1100;\&#1052;&#1058;&#1056;%20&#1074;&#1089;&#1077;%202.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R:\&#1052;&#1086;&#1080;%20&#1076;&#1086;&#1082;&#1091;&#1084;&#1077;&#1085;&#1090;&#1099;\Plan-2006_kons_rabota\Dept\Plan\Exchange\_________________________Plan_ZP\!_&#1055;&#1077;&#1095;&#1072;&#1090;&#1100;\&#1052;&#1058;&#1056;%20&#1074;&#1089;&#1077;%20-%205.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R:\Dept\Plan\Exchange\!_Plan-2006\&#1042;&#1040;&#1058;%20&#1048;&#1074;&#1072;&#1085;&#1086;%20&#1092;&#1088;&#1072;&#1085;&#1082;&#1080;&#1074;&#1089;&#1100;&#1082;&#1075;&#1072;&#1079;\Dodatok1%20.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R:\DOCUME~1\Chirich\LOCALS~1\Temp\Dept\Plan\Exchange\_________________________Plan_ZP\!_&#1055;&#1077;&#1095;&#1072;&#1090;&#1100;\&#1052;&#1058;&#1056;%20&#1074;&#1089;&#1077;%202.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R:\Dept\Plan\Exchange\!_Plan-2006\VAT%20Sevastop\Dept\Plan\Exchange\_________________________Plan_ZP\!_&#1055;&#1077;&#1095;&#1072;&#1090;&#1100;\&#1052;&#1058;&#1056;%20&#1074;&#1089;&#1077;%2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bank.gov.ua/New_monitoring/Monit_xls/M_2002/M_06_02/Monthly/10_October/1Aug2001/GDP/realgdp/LENA/BGVN1.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R:\Dept\Plan\Exchange\_________________________Plan_ZP\!_&#1055;&#1077;&#1095;&#1072;&#1090;&#1100;\&#1052;&#1058;&#1056;%20&#1074;&#1089;&#1077;%202.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Kredo\work\Dept\Plan\Exchange\_________________________Plan_ZP\!_&#1055;&#1077;&#1095;&#1072;&#1090;&#1100;\&#1052;&#1058;&#1056;%20&#1074;&#1089;&#1077;%20-%205.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D72rc2j\vera\Dept\Plan\Exchange\!_Plan-2006\VAT%20Sevastop\Dept\Plan\Exchange\_________________________Plan_ZP\!_&#1055;&#1077;&#1095;&#1072;&#1090;&#1100;\&#1052;&#1058;&#1056;%20&#1074;&#1089;&#1077;%202.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D72rc2j\vera\DOCUME~1\Chirich\LOCALS~1\Temp\DOCUME~1\VOYTOV~1\LOCALS~1\Temp\Rar$DI00.867\Planning%20System%20Project\consolidation%20hq%20formatted.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72rc2j\vera\DOCUME~1\Chirich\LOCALS~1\Temp\Dept\Plan\Exchange\_________________________Plan_ZP\!_&#1055;&#1077;&#1095;&#1072;&#1090;&#1100;\&#1052;&#1058;&#1056;%20&#1074;&#1089;&#1077;%202.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D72rc2j\vera\Documents%20and%20Settings\SUDNIKOVA\Local%20Settings\Temporary%20Internet%20Files\Content.IE5\C5MFSXEF\Subv2006\Rich%20Roz%202006.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Main\main1\DOCUME~1\Chirich\LOCALS~1\Temp\Dept\Plan\Exchange\_________________________Plan_ZP\!_&#1055;&#1077;&#1095;&#1072;&#1090;&#1100;\&#1052;&#1058;&#1056;%20&#1074;&#1089;&#1077;%202.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D72rc2j\vera\Documents%20and%20Settings\andreyevskaya\&#1052;&#1086;&#1080;%20&#1076;&#1086;&#1082;&#1091;&#1084;&#1077;&#1085;&#1090;&#1099;\OLGA\&#1056;&#1045;&#1040;&#1051;&#1048;&#1047;&#1040;&#1062;&#1048;&#1071;_2006\2006_REALIZ_&#1058;&#1045;(&#1090;&#1088;&#1072;&#1074;&#1077;&#1085;&#1100;).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http://www.bank.gov.ua/S_N_A/1July2001/GDP/realgdp/LENA/BGVN1.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D72rc2j\vera\&#1052;&#1086;&#1080;%20&#1076;&#1086;&#1082;&#1091;&#1084;&#1077;&#1085;&#1090;&#1099;\Plan-2006_kons_rabota\Dept\FinPlan-Economy\Planning%20System%20Project\consolidation%20hq%20formatted.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ile\File1\aaaa\2007%20finplan\DOCUME~1\SINKEV~1\LOCALS~1\Temp\Rar$DI00.781\Dept\Plan\Exchange\_________________________Plan_ZP\!_&#1055;&#1077;&#1095;&#1072;&#1090;&#1100;\&#1052;&#1058;&#1056;%20&#1074;&#1089;&#1077;%20-%205.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R:\DOCUME~1\Chirich\LOCALS~1\Temp\Rar$DI00.938\Dept\Plan\Exchange\!_Plan-2006\&#1042;&#1040;&#1058;%20&#1048;&#1074;&#1072;&#1085;&#1086;%20&#1092;&#1088;&#1072;&#1085;&#1082;&#1080;&#1074;&#1089;&#1100;&#1082;&#1075;&#1072;&#1079;\Dodatok1%20.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R:\DOCUME~1\SINKEV~1\LOCALS~1\Temp\Rar$DI00.781\Dept\FinPlan-Economy\Planning%20System%20Project\consolidation%20hq%20formatted.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Nechiporenko\2007&#1053;&#1054;&#1042;\DOCUME~1\Chirich\LOCALS~1\Temp\DOCUME~1\VOYTOV~1\LOCALS~1\Temp\Rar$DI00.867\Planning%20System%20Project\consolidation%20hq%20formatted.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S:\Dept\FinPlan-Economy\Planning%20System%20Project\consolidation%20hq%20formatted.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Main\MAIN1\Dept\FinPlan-Economy\Planning%20System%20Project\consolidation%20hq%20formatted.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D72rc2j\vera\Documents%20and%20Settings\likhachov\Local%20Settings\Temporary%20Internet%20Files\Content.IE5\RY4RBH0P\2006_REALIZ_&#1058;&#1045;(&#1083;&#1102;&#1090;&#1080;&#1081;20%25).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C:\Users\CPMSD23\Documents\&#1092;&#1110;&#1085;&#1087;&#1083;&#1072;&#1085;&#1080;\&#1060;&#1055;%202020\&#1060;&#1110;&#1085;.&#1087;&#1083;&#1072;&#1085;%20&#1086;&#1089;&#1090;&#1072;&#1090;&#1086;&#1095;&#1085;&#1080;&#1081;%20&#1074;&#1072;&#1088;&#1110;&#1072;&#1085;&#1090;\&#1088;&#1086;&#1079;&#1088;&#1072;&#1093;&#1091;&#1085;&#1082;&#1080;%20&#1076;&#1086;%20&#1092;&#1110;&#1085;.&#1087;&#1083;&#1072;&#1085;&#1091;\&#1056;&#1086;&#1079;&#1088;&#1072;&#1093;&#1091;&#1085;&#1082;&#1080;%20&#1085;&#1072;%202020%20&#1088;&#1110;&#1082;%2026.06.1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72rc2j\vera\FinanceUTG\finek2008\&#1043;&#1088;&#1091;&#1076;&#1077;&#1085;&#1100;%20(&#1086;&#1095;&#1080;&#1082;)\DOCUME~1\SINKEV~1\LOCALS~1\Temp\Rar$DI00.781\Dept\Plan\Exchange\_________________________Plan_ZP\!_&#1055;&#1077;&#1095;&#1072;&#1090;&#1100;\&#1052;&#1058;&#1056;%20&#1074;&#1089;&#1077;%20-%205.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72rc2j\vera\FinanceUTG\finek2008\&#1043;&#1088;&#1091;&#1076;&#1077;&#1085;&#1100;%20(&#1086;&#1095;&#1080;&#1082;)\DOCUME~1\SINKEV~1\LOCALS~1\Temp\Rar$DI00.781\Dept\FinPlan-Economy\Planning%20System%20Project\consolidation%20hq%20formatte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R:\&#1052;&#1086;&#1080;%20&#1076;&#1086;&#1082;&#1091;&#1084;&#1077;&#1085;&#1090;&#1099;\Plan-2006_kons_rabota\Dept\FinPlan-Economy\Planning%20System%20Project\consolidation%20hq%20formatted.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Kredo\work\Dept\FinPlan-Economy\Planning%20System%20Project\consolidation%20hq%20formatted.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R:\DOCUME~1\Chirich\LOCALS~1\Temp\DOCUME~1\VOYTOV~1\LOCALS~1\Temp\Rar$DI00.867\Planning%20System%20Project\consolidation%20hq%20formatted.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Nechiporenko\2007&#1053;&#1054;&#1042;\Dept\Plan\Exchange\!_Plan-2006\VAT%20Sevastop\Dept\Plan\Exchange\_________________________Plan_ZP\!_&#1055;&#1077;&#1095;&#1072;&#1090;&#1100;\&#1052;&#1058;&#1056;%20&#1074;&#1089;&#1077;%2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DP"/>
      <sheetName val="Real GDP &amp; Real IP (u)"/>
      <sheetName val="Real GDP &amp; Real IP (e)"/>
      <sheetName val="GDP_gr"/>
      <sheetName val="Светлые"/>
      <sheetName val="адмін (2)"/>
      <sheetName val="Лист 1"/>
      <sheetName val="Real_GDP_&amp;_Real_IP_(u)"/>
      <sheetName val="Real_GDP_&amp;_Real_IP_(e)"/>
    </sheetNames>
    <sheetDataSet>
      <sheetData sheetId="0"/>
      <sheetData sheetId="1"/>
      <sheetData sheetId="2"/>
      <sheetData sheetId="3"/>
      <sheetData sheetId="4" refreshError="1"/>
      <sheetData sheetId="5" refreshError="1"/>
      <sheetData sheetId="6" refreshError="1"/>
      <sheetData sheetId="7"/>
      <sheetData sheetId="8"/>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ведена таб"/>
      <sheetName val="попер_роз"/>
      <sheetName val="попер_роз (4)"/>
      <sheetName val="звед_оптим (2)"/>
      <sheetName val="звед_баз(3)_СА"/>
      <sheetName val="звед_опт(3)_ca"/>
      <sheetName val="звед_баз(4)"/>
      <sheetName val="звед_опт(4)"/>
      <sheetName val="МТР Газ України"/>
      <sheetName val="зведена_таб"/>
      <sheetName val="попер_роз_(4)"/>
      <sheetName val="звед_оптим_(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 sheetId="1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 val="1__поясн"/>
      <sheetName val="Вир_пок_(2)"/>
      <sheetName val="3__Ф2"/>
      <sheetName val="4__04_05"/>
      <sheetName val="4а_доходи"/>
      <sheetName val="4б_Собівартість_(транспортув)"/>
      <sheetName val="4б_Собівартість_(постач)"/>
      <sheetName val="4б_Собівартість_(скрапл__газ)"/>
      <sheetName val="5__Сб_Адм_Зб"/>
      <sheetName val="6__Інші_доходи"/>
      <sheetName val="7__Інші_витрати"/>
      <sheetName val="8__Кошт_вд_04"/>
      <sheetName val="9__Кошт_вд_05"/>
      <sheetName val="10__Кошт_вд_06"/>
      <sheetName val="10__Кошт_вд_06__1_"/>
      <sheetName val="10__Кошт_вд_06__2_"/>
      <sheetName val="10__Кошт_вд_06__3_"/>
      <sheetName val="10__Кошт_вд_06__4_"/>
      <sheetName val="11__Ф1"/>
      <sheetName val="13__95_р"/>
      <sheetName val="14_Коефіцієнтний_аналіз"/>
      <sheetName val="15_Рух_коштів"/>
      <sheetName val="16_Кап_вкл"/>
      <sheetName val="17_Фін_інв"/>
      <sheetName val="18_Подат"/>
      <sheetName val="19_МТР"/>
      <sheetName val="20_Внутр_оборот"/>
      <sheetName val="попер_роз"/>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1993"/>
      <sheetName val="Infor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 val="МТР Газ України"/>
      <sheetName val="1__поясн"/>
      <sheetName val="Вир_пок_(2)"/>
      <sheetName val="3__Ф2"/>
      <sheetName val="4__04_05"/>
      <sheetName val="4а_доходи"/>
      <sheetName val="4б_Собівартість_(транспортув)"/>
      <sheetName val="4б_Собівартість_(постач)"/>
      <sheetName val="4б_Собівартість_(скрапл__газ)"/>
      <sheetName val="5__Сб_Адм_Зб"/>
      <sheetName val="6__Інші_доходи"/>
      <sheetName val="7__Інші_витрати"/>
      <sheetName val="8__Кошт_вд_04"/>
      <sheetName val="9__Кошт_вд_05"/>
      <sheetName val="10__Кошт_вд_06"/>
      <sheetName val="10__Кошт_вд_06__1_"/>
      <sheetName val="10__Кошт_вд_06__2_"/>
      <sheetName val="10__Кошт_вд_06__3_"/>
      <sheetName val="10__Кошт_вд_06__4_"/>
      <sheetName val="11__Ф1"/>
      <sheetName val="13__95_р"/>
      <sheetName val="14_Коефіцієнтний_аналіз"/>
      <sheetName val="15_Рух_коштів"/>
      <sheetName val="16_Кап_вкл"/>
      <sheetName val="17_Фін_інв"/>
      <sheetName val="18_Подат"/>
      <sheetName val="19_МТР"/>
      <sheetName val="20_Внутр_оборо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Ini"/>
      <sheetName val="Ëčńň1"/>
      <sheetName val="Sum_pok"/>
    </sheetNames>
    <definedNames>
      <definedName name="ShowFil"/>
    </definedNames>
    <sheetDataSet>
      <sheetData sheetId="0" refreshError="1"/>
      <sheetData sheetId="1" refreshError="1"/>
      <sheetData sheetId="2" refreshError="1"/>
      <sheetData sheetId="3"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Лист1"/>
      <sheetName val="МТР все 2"/>
      <sheetName val="Правила ДДС"/>
      <sheetName val="7  інші витрати"/>
      <sheetName val="Inform"/>
      <sheetName val="_ф3"/>
      <sheetName val="_Ф4"/>
      <sheetName val="_Ф5"/>
      <sheetName val="Ф7_цены"/>
      <sheetName val="Ф8_цены"/>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Лист1"/>
      <sheetName val="МТР все - 5"/>
      <sheetName val="Inform"/>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 val="1__поясн"/>
      <sheetName val="Вир_пок_(2)"/>
      <sheetName val="3__Ф2"/>
      <sheetName val="4__04_05"/>
      <sheetName val="4а_доходи"/>
      <sheetName val="4б_Собівартість_(транспортув)"/>
      <sheetName val="4б_Собівартість_(постач)"/>
      <sheetName val="4б_Собівартість_(скрапл__газ)"/>
      <sheetName val="5__Сб_Адм_Зб"/>
      <sheetName val="6__Інші_доходи"/>
      <sheetName val="7__Інші_витрати"/>
      <sheetName val="8__Кошт_вд_04"/>
      <sheetName val="9__Кошт_вд_05"/>
      <sheetName val="10__Кошт_вд_06"/>
      <sheetName val="10__Кошт_вд_06__1_"/>
      <sheetName val="10__Кошт_вд_06__2_"/>
      <sheetName val="10__Кошт_вд_06__3_"/>
      <sheetName val="10__Кошт_вд_06__4_"/>
      <sheetName val="11__Ф1"/>
      <sheetName val="13__95_р"/>
      <sheetName val="14_Коефіцієнтний_аналіз"/>
      <sheetName val="15_Рух_коштів"/>
      <sheetName val="16_Кап_вкл"/>
      <sheetName val="17_Фін_інв"/>
      <sheetName val="18_Подат"/>
      <sheetName val="19_МТР"/>
      <sheetName val="20_Внутр_оборот"/>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refreshError="1"/>
      <sheetData sheetId="26" refreshError="1"/>
      <sheetData sheetId="27" refreshError="1"/>
      <sheetData sheetId="28" refreshError="1"/>
      <sheetData sheetId="29" refreshError="1"/>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7  інші витрати"/>
    </sheetNames>
    <sheetDataSet>
      <sheetData sheetId="0"/>
      <sheetData sheetId="1"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попер_роз"/>
      <sheetName val="Лист1"/>
      <sheetName val="МТР все 2"/>
    </sheetNames>
    <sheetDataSet>
      <sheetData sheetId="0"/>
      <sheetData sheetId="1" refreshError="1"/>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3"/>
      <sheetName val="GDP"/>
    </sheetNames>
    <sheetDataSet>
      <sheetData sheetId="0" refreshError="1">
        <row r="1">
          <cell r="D1" t="str">
            <v>Баланс грошових доходiв i витрат населення Украјни у</v>
          </cell>
          <cell r="K1" t="str">
            <v>GOD</v>
          </cell>
        </row>
        <row r="2">
          <cell r="K2">
            <v>1993</v>
          </cell>
          <cell r="L2" t="str">
            <v>роцi</v>
          </cell>
        </row>
        <row r="3">
          <cell r="N3" t="str">
            <v>(млрд.крб)</v>
          </cell>
        </row>
        <row r="5">
          <cell r="A5" t="str">
            <v>А. ГРОШОВI ДОХОДИ</v>
          </cell>
        </row>
        <row r="6">
          <cell r="A6" t="str">
            <v>1.Заробiтна плата</v>
          </cell>
        </row>
        <row r="7">
          <cell r="A7" t="str">
            <v>2.Оплата працi робiтникiв</v>
          </cell>
        </row>
        <row r="8">
          <cell r="A8" t="str">
            <v xml:space="preserve">  кооперативiв</v>
          </cell>
        </row>
        <row r="9">
          <cell r="A9" t="str">
            <v>3.Доходи робiтникiв та служ-</v>
          </cell>
        </row>
        <row r="10">
          <cell r="A10" t="str">
            <v xml:space="preserve">  бовцiв вiд пiдприїмств та</v>
          </cell>
        </row>
        <row r="11">
          <cell r="A11" t="str">
            <v xml:space="preserve">  органiзацiй крiм зар.плати</v>
          </cell>
        </row>
        <row r="12">
          <cell r="A12" t="str">
            <v xml:space="preserve">4.Грошовi доходи вiд   </v>
          </cell>
        </row>
        <row r="13">
          <cell r="A13" t="str">
            <v xml:space="preserve">  колгоспiв            </v>
          </cell>
        </row>
        <row r="14">
          <cell r="A14" t="str">
            <v>5.Надходження вiд продажу</v>
          </cell>
        </row>
        <row r="15">
          <cell r="A15" t="str">
            <v xml:space="preserve">  продуктiв сiльсьгого госп.</v>
          </cell>
        </row>
        <row r="16">
          <cell r="A16" t="str">
            <v>Всього трудових доходiв</v>
          </cell>
        </row>
        <row r="17">
          <cell r="A17" t="str">
            <v>(рядки 1+2+3+4+5)</v>
          </cell>
        </row>
        <row r="18">
          <cell r="A18" t="str">
            <v>6.Пенсiј, допомоги,стипендiј</v>
          </cell>
        </row>
        <row r="19">
          <cell r="A19" t="str">
            <v xml:space="preserve">  та iншi надходження</v>
          </cell>
        </row>
        <row r="20">
          <cell r="A20" t="str">
            <v xml:space="preserve">     в тому числi:</v>
          </cell>
        </row>
        <row r="21">
          <cell r="A21" t="str">
            <v xml:space="preserve"> пенсiј, допомоги, стипендiј</v>
          </cell>
        </row>
        <row r="22">
          <cell r="A22" t="str">
            <v>Баланс</v>
          </cell>
        </row>
        <row r="23">
          <cell r="A23" t="str">
            <v>Б.ВИТРАТИ ТА ЗАОЩАДЖЕННЯ</v>
          </cell>
        </row>
        <row r="24">
          <cell r="A24" t="str">
            <v>1.Покупка товарiв та оплата</v>
          </cell>
        </row>
        <row r="25">
          <cell r="A25" t="str">
            <v xml:space="preserve">  послуг</v>
          </cell>
        </row>
        <row r="26">
          <cell r="A26" t="str">
            <v xml:space="preserve">    в тому числi:</v>
          </cell>
        </row>
        <row r="27">
          <cell r="A27" t="str">
            <v xml:space="preserve"> покупка товарiв       </v>
          </cell>
        </row>
        <row r="28">
          <cell r="A28" t="str">
            <v xml:space="preserve"> оплата послуг         </v>
          </cell>
        </row>
        <row r="29">
          <cell r="A29" t="str">
            <v>2.Обов'язковi платежi та</v>
          </cell>
        </row>
        <row r="30">
          <cell r="A30" t="str">
            <v xml:space="preserve">  добровiльнi внески</v>
          </cell>
        </row>
        <row r="31">
          <cell r="A31" t="str">
            <v xml:space="preserve">       iз них:</v>
          </cell>
        </row>
        <row r="32">
          <cell r="A32" t="str">
            <v xml:space="preserve"> прибутковий податок з </v>
          </cell>
        </row>
        <row r="33">
          <cell r="A33" t="str">
            <v xml:space="preserve"> населення             </v>
          </cell>
        </row>
        <row r="34">
          <cell r="A34" t="str">
            <v>3.Прирiст вкладiв,придбання</v>
          </cell>
        </row>
        <row r="35">
          <cell r="A35" t="str">
            <v xml:space="preserve">  облiгацiй Державној внутр.</v>
          </cell>
        </row>
        <row r="36">
          <cell r="A36" t="str">
            <v xml:space="preserve">  позики,iнш.цiнних паперiв  </v>
          </cell>
        </row>
        <row r="37">
          <cell r="A37" t="str">
            <v>Всього</v>
          </cell>
        </row>
        <row r="38">
          <cell r="A38" t="str">
            <v xml:space="preserve">В. Перевищення доходiв над </v>
          </cell>
        </row>
        <row r="39">
          <cell r="A39" t="str">
            <v xml:space="preserve">   витратами</v>
          </cell>
        </row>
        <row r="40">
          <cell r="A40" t="str">
            <v>Баланс</v>
          </cell>
        </row>
        <row r="41">
          <cell r="A41" t="str">
            <v>_x000C_</v>
          </cell>
        </row>
        <row r="46">
          <cell r="A46" t="str">
            <v>А. ГРОШОВI ДОХОДИ</v>
          </cell>
        </row>
        <row r="47">
          <cell r="A47" t="str">
            <v>1.Заробiтна плата</v>
          </cell>
        </row>
        <row r="48">
          <cell r="A48" t="str">
            <v>2.Оплата працi робiтникiв</v>
          </cell>
        </row>
        <row r="49">
          <cell r="A49" t="str">
            <v xml:space="preserve">  кооперативiв</v>
          </cell>
        </row>
        <row r="50">
          <cell r="A50" t="str">
            <v>3.Доходи робiтникiв та служ-</v>
          </cell>
        </row>
        <row r="51">
          <cell r="A51" t="str">
            <v xml:space="preserve">  бовцiв вiд пiдприїмств та</v>
          </cell>
        </row>
        <row r="52">
          <cell r="A52" t="str">
            <v xml:space="preserve">  органiзацiй крiм зар.плати</v>
          </cell>
        </row>
        <row r="53">
          <cell r="A53" t="str">
            <v xml:space="preserve">4.Грошовi доходи вiд   </v>
          </cell>
        </row>
        <row r="54">
          <cell r="A54" t="str">
            <v xml:space="preserve">  колгоспiв            </v>
          </cell>
        </row>
        <row r="55">
          <cell r="A55" t="str">
            <v>5.Надходження вiд продажу</v>
          </cell>
        </row>
        <row r="56">
          <cell r="A56" t="str">
            <v xml:space="preserve">  продуктiв сiльсьгого госп.</v>
          </cell>
        </row>
        <row r="57">
          <cell r="A57" t="str">
            <v>Всього трудових доходiв</v>
          </cell>
        </row>
        <row r="58">
          <cell r="A58" t="str">
            <v>(рядки 1+2+3+4+5)</v>
          </cell>
        </row>
        <row r="59">
          <cell r="A59" t="str">
            <v>6.Пенсiј, допомоги,стипендiј</v>
          </cell>
        </row>
        <row r="60">
          <cell r="A60" t="str">
            <v xml:space="preserve">  та iншi надходження</v>
          </cell>
        </row>
        <row r="61">
          <cell r="A61" t="str">
            <v xml:space="preserve">     в тому числi:</v>
          </cell>
        </row>
        <row r="62">
          <cell r="A62" t="str">
            <v xml:space="preserve"> пенсiј, допомоги, стипендiј</v>
          </cell>
        </row>
        <row r="63">
          <cell r="A63" t="str">
            <v>Баланс</v>
          </cell>
        </row>
        <row r="64">
          <cell r="A64" t="str">
            <v>Б.ВИТРАТИ ТА ЗАОЩАДЖЕННЯ</v>
          </cell>
        </row>
        <row r="65">
          <cell r="A65" t="str">
            <v>1.Покупка товарiв та оплата</v>
          </cell>
        </row>
        <row r="66">
          <cell r="A66" t="str">
            <v xml:space="preserve">  послуг</v>
          </cell>
        </row>
        <row r="67">
          <cell r="A67" t="str">
            <v xml:space="preserve">    в тому числi:</v>
          </cell>
        </row>
        <row r="68">
          <cell r="A68" t="str">
            <v xml:space="preserve"> покупка товарiв       </v>
          </cell>
        </row>
        <row r="69">
          <cell r="A69" t="str">
            <v xml:space="preserve"> оплата послуг         </v>
          </cell>
        </row>
        <row r="70">
          <cell r="A70" t="str">
            <v>2.Обов'язковi платежi та</v>
          </cell>
        </row>
        <row r="71">
          <cell r="A71" t="str">
            <v xml:space="preserve">  добровiльнi внески</v>
          </cell>
        </row>
        <row r="72">
          <cell r="A72" t="str">
            <v xml:space="preserve">       iз них:</v>
          </cell>
        </row>
        <row r="73">
          <cell r="A73" t="str">
            <v xml:space="preserve"> прибутковий податок з </v>
          </cell>
        </row>
        <row r="74">
          <cell r="A74" t="str">
            <v xml:space="preserve"> населення             </v>
          </cell>
        </row>
        <row r="75">
          <cell r="A75" t="str">
            <v>3.Прирiст вкладiв,придбання</v>
          </cell>
        </row>
        <row r="76">
          <cell r="A76" t="str">
            <v xml:space="preserve">  облiгацiй Державној внутр.</v>
          </cell>
        </row>
        <row r="77">
          <cell r="A77" t="str">
            <v xml:space="preserve">  позики,iнш.цiнних паперiв  </v>
          </cell>
        </row>
        <row r="78">
          <cell r="A78" t="str">
            <v>Всього</v>
          </cell>
        </row>
        <row r="79">
          <cell r="A79" t="str">
            <v xml:space="preserve">В. Перевищення доходiв над </v>
          </cell>
        </row>
        <row r="80">
          <cell r="A80" t="str">
            <v xml:space="preserve">   витратами</v>
          </cell>
        </row>
        <row r="81">
          <cell r="A81" t="str">
            <v>Баланс</v>
          </cell>
        </row>
        <row r="82">
          <cell r="A82" t="str">
            <v xml:space="preserve">        Довiдково: чисельнiсть населення в</v>
          </cell>
        </row>
        <row r="83">
          <cell r="A83" t="str">
            <v>_x000C_</v>
          </cell>
        </row>
        <row r="88">
          <cell r="A88" t="str">
            <v>А. ГРОШОВI ДОХОДИ</v>
          </cell>
        </row>
        <row r="89">
          <cell r="A89" t="str">
            <v>1.Заробiтна плата</v>
          </cell>
        </row>
        <row r="90">
          <cell r="A90" t="str">
            <v>2.Оплата працi робiтникiв</v>
          </cell>
        </row>
        <row r="91">
          <cell r="A91" t="str">
            <v xml:space="preserve">  кооперативiв</v>
          </cell>
        </row>
        <row r="92">
          <cell r="A92" t="str">
            <v>3.Доходи робiтникiв та служ-</v>
          </cell>
        </row>
        <row r="93">
          <cell r="A93" t="str">
            <v xml:space="preserve">  бовцiв вiд пiдприїмств та</v>
          </cell>
        </row>
        <row r="94">
          <cell r="A94" t="str">
            <v xml:space="preserve">  органiзацiй крiм зар.плати</v>
          </cell>
        </row>
        <row r="95">
          <cell r="A95" t="str">
            <v xml:space="preserve">4.Грошовi доходи вiд   </v>
          </cell>
        </row>
        <row r="96">
          <cell r="A96" t="str">
            <v xml:space="preserve">  колгоспiв            </v>
          </cell>
        </row>
        <row r="97">
          <cell r="A97" t="str">
            <v>5.Надходження вiд продажу</v>
          </cell>
        </row>
        <row r="98">
          <cell r="A98" t="str">
            <v xml:space="preserve">  продуктiв сiльсьгого госп.</v>
          </cell>
        </row>
        <row r="99">
          <cell r="A99" t="str">
            <v>Всього трудових доходiв</v>
          </cell>
        </row>
        <row r="100">
          <cell r="A100" t="str">
            <v>(рядки 1+2+3+4+5)</v>
          </cell>
        </row>
        <row r="101">
          <cell r="A101" t="str">
            <v>6.Пенсiј, допомоги,стипендiј</v>
          </cell>
        </row>
        <row r="102">
          <cell r="A102" t="str">
            <v xml:space="preserve">  та iншi надходження</v>
          </cell>
        </row>
        <row r="103">
          <cell r="A103" t="str">
            <v xml:space="preserve">     в тому числi:</v>
          </cell>
        </row>
        <row r="104">
          <cell r="A104" t="str">
            <v xml:space="preserve"> пенсiј, допомоги, стипендiј</v>
          </cell>
        </row>
        <row r="105">
          <cell r="A105" t="str">
            <v>Баланс</v>
          </cell>
        </row>
        <row r="106">
          <cell r="A106" t="str">
            <v>Б.ВИТРАТИ ТА ЗАОЩАДЖЕННЯ</v>
          </cell>
        </row>
        <row r="107">
          <cell r="A107" t="str">
            <v>1.Покупка товарiв та оплата</v>
          </cell>
        </row>
        <row r="108">
          <cell r="A108" t="str">
            <v xml:space="preserve">  послуг</v>
          </cell>
        </row>
        <row r="109">
          <cell r="A109" t="str">
            <v xml:space="preserve">    в тому числi:</v>
          </cell>
        </row>
        <row r="110">
          <cell r="A110" t="str">
            <v xml:space="preserve"> покупка товарiв       </v>
          </cell>
        </row>
        <row r="111">
          <cell r="A111" t="str">
            <v xml:space="preserve"> оплата послуг         </v>
          </cell>
        </row>
        <row r="112">
          <cell r="A112" t="str">
            <v>2.Обов'язковi платежi та</v>
          </cell>
        </row>
        <row r="113">
          <cell r="A113" t="str">
            <v xml:space="preserve">  добровiльнi внески</v>
          </cell>
        </row>
        <row r="114">
          <cell r="A114" t="str">
            <v xml:space="preserve">       iз них:</v>
          </cell>
        </row>
        <row r="115">
          <cell r="A115" t="str">
            <v xml:space="preserve"> прибутковий податок з </v>
          </cell>
        </row>
        <row r="116">
          <cell r="A116" t="str">
            <v xml:space="preserve"> населення             </v>
          </cell>
        </row>
        <row r="117">
          <cell r="A117" t="str">
            <v>3.Прирiст вкладiв,придбання</v>
          </cell>
        </row>
        <row r="118">
          <cell r="A118" t="str">
            <v xml:space="preserve">  облiгацiй Державној внутр.</v>
          </cell>
        </row>
        <row r="119">
          <cell r="A119" t="str">
            <v xml:space="preserve">  позики,iнш.цiнних паперiв  </v>
          </cell>
        </row>
        <row r="120">
          <cell r="A120" t="str">
            <v>Всього</v>
          </cell>
        </row>
        <row r="121">
          <cell r="A121" t="str">
            <v xml:space="preserve">В. Перевищення доходiв над </v>
          </cell>
        </row>
        <row r="122">
          <cell r="A122" t="str">
            <v xml:space="preserve">   витратами</v>
          </cell>
        </row>
        <row r="123">
          <cell r="A123" t="str">
            <v>Баланс</v>
          </cell>
        </row>
        <row r="124">
          <cell r="A124" t="str">
            <v>_x000C_</v>
          </cell>
        </row>
        <row r="130">
          <cell r="A130" t="str">
            <v>А. ГРОШОВI ДОХОДИ</v>
          </cell>
        </row>
        <row r="131">
          <cell r="A131" t="str">
            <v>1.Заробiтна плата</v>
          </cell>
        </row>
        <row r="132">
          <cell r="A132" t="str">
            <v>2.Оплата працi робiтникiв</v>
          </cell>
        </row>
        <row r="133">
          <cell r="A133" t="str">
            <v xml:space="preserve">  кооперативiв</v>
          </cell>
        </row>
        <row r="134">
          <cell r="A134" t="str">
            <v>3.Доходи робiтникiв та служ-</v>
          </cell>
        </row>
        <row r="135">
          <cell r="A135" t="str">
            <v xml:space="preserve">  бовцiв вiд пiдприїмств та</v>
          </cell>
        </row>
        <row r="136">
          <cell r="A136" t="str">
            <v xml:space="preserve">  органiзацiй крiм зар.плати</v>
          </cell>
        </row>
        <row r="137">
          <cell r="A137" t="str">
            <v xml:space="preserve">4.Грошовi доходи вiд   </v>
          </cell>
        </row>
        <row r="138">
          <cell r="A138" t="str">
            <v xml:space="preserve">  колгоспiв            </v>
          </cell>
        </row>
        <row r="139">
          <cell r="A139" t="str">
            <v>5.Надходження вiд продажу</v>
          </cell>
        </row>
        <row r="140">
          <cell r="A140" t="str">
            <v xml:space="preserve">  продуктiв сiльсьгого госп.</v>
          </cell>
        </row>
        <row r="141">
          <cell r="A141" t="str">
            <v>Всього трудових доходiв</v>
          </cell>
        </row>
        <row r="142">
          <cell r="A142" t="str">
            <v>(рядки 1+2+3+4+5)</v>
          </cell>
        </row>
        <row r="143">
          <cell r="A143" t="str">
            <v>6.Пенсiј, допомоги,стипендiј</v>
          </cell>
        </row>
        <row r="144">
          <cell r="A144" t="str">
            <v xml:space="preserve">  та iншi надходження</v>
          </cell>
        </row>
        <row r="145">
          <cell r="A145" t="str">
            <v xml:space="preserve">     в тому числi:</v>
          </cell>
        </row>
        <row r="146">
          <cell r="A146" t="str">
            <v xml:space="preserve"> пенсiј, допомоги, стипендiј</v>
          </cell>
        </row>
        <row r="147">
          <cell r="A147" t="str">
            <v>Баланс</v>
          </cell>
        </row>
        <row r="148">
          <cell r="A148" t="str">
            <v>Б.ВИТРАТИ ТА ЗАОЩАДЖЕННЯ</v>
          </cell>
        </row>
        <row r="149">
          <cell r="A149" t="str">
            <v>1.Покупка товарiв та оплата</v>
          </cell>
        </row>
        <row r="150">
          <cell r="A150" t="str">
            <v xml:space="preserve">  послуг</v>
          </cell>
        </row>
        <row r="151">
          <cell r="A151" t="str">
            <v xml:space="preserve">    в тому числi:</v>
          </cell>
        </row>
        <row r="152">
          <cell r="A152" t="str">
            <v xml:space="preserve"> покупка товарiв       </v>
          </cell>
        </row>
        <row r="153">
          <cell r="A153" t="str">
            <v xml:space="preserve"> оплата послуг         </v>
          </cell>
        </row>
        <row r="154">
          <cell r="A154" t="str">
            <v>2.Обов'язковi платежi та</v>
          </cell>
        </row>
        <row r="155">
          <cell r="A155" t="str">
            <v xml:space="preserve">  добровiльнi внески</v>
          </cell>
        </row>
        <row r="156">
          <cell r="A156" t="str">
            <v xml:space="preserve">       iз них:</v>
          </cell>
        </row>
        <row r="157">
          <cell r="A157" t="str">
            <v xml:space="preserve"> прибутковий податок з </v>
          </cell>
        </row>
        <row r="158">
          <cell r="A158" t="str">
            <v xml:space="preserve"> населення             </v>
          </cell>
        </row>
        <row r="159">
          <cell r="A159" t="str">
            <v>3.Прирiст вкладiв,придбання</v>
          </cell>
        </row>
        <row r="160">
          <cell r="A160" t="str">
            <v xml:space="preserve">  облiгацiй Державној внутр.</v>
          </cell>
        </row>
        <row r="161">
          <cell r="A161" t="str">
            <v xml:space="preserve">  позики,iнш.цiнних паперiв  </v>
          </cell>
        </row>
        <row r="162">
          <cell r="A162" t="str">
            <v>Всього</v>
          </cell>
        </row>
        <row r="163">
          <cell r="A163" t="str">
            <v xml:space="preserve">В. Перевищення доходiв над </v>
          </cell>
        </row>
        <row r="164">
          <cell r="A164" t="str">
            <v xml:space="preserve">   витратами</v>
          </cell>
        </row>
        <row r="165">
          <cell r="A165" t="str">
            <v>Баланс</v>
          </cell>
        </row>
        <row r="166">
          <cell r="A166" t="str">
            <v>_x000C_</v>
          </cell>
        </row>
      </sheetData>
      <sheetData sheetId="1"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7  інші витрат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МТР_Апарат"/>
      <sheetName val="МТР_Газ_України"/>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 val="7  Інші витрати"/>
      <sheetName val="Ф2"/>
      <sheetName val="Inform"/>
      <sheetName val="Ini"/>
      <sheetName val="Setup"/>
      <sheetName val="200"/>
      <sheetName val="199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додаток до звіту"/>
      <sheetName val="7  інші витрати"/>
    </sheetNames>
    <sheetDataSet>
      <sheetData sheetId="0" refreshError="1"/>
      <sheetData sheetId="1"/>
      <sheetData sheetId="2"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 val="МТР Газ України"/>
      <sheetName val="7  інші витрати"/>
      <sheetName val="додаток до звіту"/>
    </sheetNames>
    <sheetDataSet>
      <sheetData sheetId="0" refreshError="1"/>
      <sheetData sheetId="1" refreshError="1"/>
      <sheetData sheetId="2" refreshError="1"/>
      <sheetData sheetId="3"/>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Лист1"/>
      <sheetName val="МТР все 2"/>
      <sheetName val="попер_роз"/>
      <sheetName val="додаток до звіту"/>
    </sheetNames>
    <sheetDataSet>
      <sheetData sheetId="0" refreshError="1"/>
      <sheetData sheetId="1" refreshError="1"/>
      <sheetData sheetId="2" refreshError="1"/>
      <sheetData sheetId="3" refreshError="1"/>
      <sheetData sheetId="4"/>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tac"/>
      <sheetName val="DodDot"/>
      <sheetName val="Dod ARK"/>
      <sheetName val="Dod Clavutich"/>
      <sheetName val="Svod 3511060"/>
      <sheetName val="Viluch(1-12)"/>
      <sheetName val="Diti "/>
      <sheetName val="TvPalGaz"/>
      <sheetName val="Ener "/>
      <sheetName val="IncsiPilgi (2)"/>
      <sheetName val="GirZakon"/>
      <sheetName val="Govti Vodi"/>
      <sheetName val="Chor Flot"/>
      <sheetName val="Afganci"/>
      <sheetName val="Shidka Dop"/>
      <sheetName val="Likarna"/>
      <sheetName val="Zoiot Pidkova"/>
      <sheetName val="Granti"/>
      <sheetName val="Granti1"/>
      <sheetName val="Vibori"/>
      <sheetName val="Metro"/>
      <sheetName val="Oper Teatr"/>
      <sheetName val="Makeevka"/>
      <sheetName val="Ctix Lixo IvFrank"/>
      <sheetName val="Groshi xodat za dit"/>
      <sheetName val="Ctix Lixo Zakarp"/>
      <sheetName val="Coc GKG Inv"/>
      <sheetName val="Tuzla"/>
      <sheetName val="Zmiinii"/>
      <sheetName val="Ctandarti"/>
      <sheetName val="CocEkon"/>
      <sheetName val="Ictor Zabudova"/>
      <sheetName val="Ict Zab"/>
      <sheetName val="Ukr Kultura"/>
      <sheetName val="Minoboroni"/>
      <sheetName val="Mic Arcenal"/>
      <sheetName val="Inekcini"/>
      <sheetName val="In"/>
      <sheetName val="diti ciroti -2(minmolod)"/>
      <sheetName val="Korek ocvita"/>
      <sheetName val="Tex Dic Ocvita"/>
      <sheetName val="Troleib"/>
      <sheetName val="Utoc.Zaoshadg"/>
      <sheetName val="Metro Cpec Fond"/>
      <sheetName val="Svitov Bank"/>
      <sheetName val="Shidka Dop Cp Fond"/>
      <sheetName val="Gazoprovodi"/>
      <sheetName val="Troleib Cpec Fond"/>
      <sheetName val="Zaporiggya"/>
      <sheetName val="Kremenchuk"/>
      <sheetName val="Pereviz ditey"/>
      <sheetName val="Kom dorigu"/>
      <sheetName val="Chor Fiot Cpec Fond"/>
      <sheetName val="Zaosch"/>
      <sheetName val="kryvRig"/>
      <sheetName val="OSVITA"/>
      <sheetName val="Tar"/>
      <sheetName val="Nar.instr"/>
      <sheetName val="DDot"/>
      <sheetName val="Dsub"/>
      <sheetName val="Inform"/>
      <sheetName val="МТР Газ України"/>
      <sheetName val="7  інші витрати"/>
      <sheetName val="додаток до звіту"/>
    </sheetNames>
    <sheetDataSet>
      <sheetData sheetId="0"/>
      <sheetData sheetId="1"/>
      <sheetData sheetId="2"/>
      <sheetData sheetId="3"/>
      <sheetData sheetId="4"/>
      <sheetData sheetId="5"/>
      <sheetData sheetId="6"/>
      <sheetData sheetId="7"/>
      <sheetData sheetId="8" refreshError="1">
        <row r="2">
          <cell r="A2" t="str">
            <v>Обсяг помісячного надходження субвенції з державного бюджету до місцевих бюджетів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v>
          </cell>
        </row>
        <row r="5">
          <cell r="A5" t="str">
            <v>Код бюджету</v>
          </cell>
          <cell r="B5" t="str">
            <v>Назва адміністративно-територіальної одиниці</v>
          </cell>
          <cell r="C5" t="str">
            <v>січень</v>
          </cell>
          <cell r="D5" t="str">
            <v>лютий</v>
          </cell>
          <cell r="E5" t="str">
            <v>березень</v>
          </cell>
          <cell r="F5" t="str">
            <v>квітень</v>
          </cell>
          <cell r="G5" t="str">
            <v>травень</v>
          </cell>
        </row>
        <row r="6">
          <cell r="A6" t="str">
            <v>О1100000000</v>
          </cell>
          <cell r="B6" t="str">
            <v>бюджет Автономної Республіки Крим</v>
          </cell>
          <cell r="C6">
            <v>2463.5419999999999</v>
          </cell>
          <cell r="D6">
            <v>5004.6750000000002</v>
          </cell>
          <cell r="E6">
            <v>4874.01</v>
          </cell>
          <cell r="F6">
            <v>6713.2</v>
          </cell>
          <cell r="G6">
            <v>5483.6</v>
          </cell>
        </row>
        <row r="7">
          <cell r="A7" t="str">
            <v>О2100000000</v>
          </cell>
          <cell r="B7" t="str">
            <v>обласний бюджет Вiнницької області</v>
          </cell>
          <cell r="C7">
            <v>5585.9549999999999</v>
          </cell>
          <cell r="D7">
            <v>5130.4480000000003</v>
          </cell>
          <cell r="E7">
            <v>5614.5339999999997</v>
          </cell>
          <cell r="F7">
            <v>7821.4</v>
          </cell>
          <cell r="G7">
            <v>4676.6000000000004</v>
          </cell>
        </row>
        <row r="8">
          <cell r="A8" t="str">
            <v>О3100000000</v>
          </cell>
          <cell r="B8" t="str">
            <v>обласний бюджет Волинської області</v>
          </cell>
          <cell r="C8">
            <v>3419.413</v>
          </cell>
          <cell r="D8">
            <v>4547.1629999999996</v>
          </cell>
          <cell r="E8">
            <v>4267.8410000000003</v>
          </cell>
          <cell r="F8">
            <v>5180.2</v>
          </cell>
          <cell r="G8">
            <v>3258.4</v>
          </cell>
        </row>
        <row r="9">
          <cell r="A9" t="str">
            <v>О4100000000</v>
          </cell>
          <cell r="B9" t="str">
            <v>обласний бюджет Днiпропетровської області</v>
          </cell>
          <cell r="C9">
            <v>8288.7270000000008</v>
          </cell>
          <cell r="D9">
            <v>20991.351999999999</v>
          </cell>
          <cell r="E9">
            <v>16903.654999999999</v>
          </cell>
          <cell r="F9">
            <v>23535.787</v>
          </cell>
          <cell r="G9">
            <v>12935.2</v>
          </cell>
        </row>
        <row r="10">
          <cell r="A10" t="str">
            <v>О5100000000</v>
          </cell>
          <cell r="B10" t="str">
            <v>обласний бюджет Донецької області</v>
          </cell>
          <cell r="C10">
            <v>11729.522000000001</v>
          </cell>
          <cell r="D10">
            <v>19530.755000000001</v>
          </cell>
          <cell r="E10">
            <v>19355.436000000002</v>
          </cell>
          <cell r="F10">
            <v>26008.7</v>
          </cell>
          <cell r="G10">
            <v>15778.6</v>
          </cell>
        </row>
        <row r="11">
          <cell r="A11" t="str">
            <v>О6100000000</v>
          </cell>
          <cell r="B11" t="str">
            <v>обласний бюджет Житомирської області</v>
          </cell>
          <cell r="C11">
            <v>3202.2750000000001</v>
          </cell>
          <cell r="D11">
            <v>6561.0010000000002</v>
          </cell>
          <cell r="E11">
            <v>5316.2150000000001</v>
          </cell>
          <cell r="F11">
            <v>7407.8</v>
          </cell>
          <cell r="G11">
            <v>4605.7</v>
          </cell>
        </row>
        <row r="12">
          <cell r="A12" t="str">
            <v>О7100000000</v>
          </cell>
          <cell r="B12" t="str">
            <v>обласний бюджет Закарпатської області</v>
          </cell>
          <cell r="C12">
            <v>1513.9649999999999</v>
          </cell>
          <cell r="D12">
            <v>1806.577</v>
          </cell>
          <cell r="E12">
            <v>4712.2439999999997</v>
          </cell>
          <cell r="F12">
            <v>4277.8</v>
          </cell>
          <cell r="G12">
            <v>1586.9</v>
          </cell>
        </row>
        <row r="13">
          <cell r="A13" t="str">
            <v>О8100000000</v>
          </cell>
          <cell r="B13" t="str">
            <v>обласний бюджет Запорiзької області</v>
          </cell>
          <cell r="C13">
            <v>3867.2069999999999</v>
          </cell>
          <cell r="D13">
            <v>7903.7089999999998</v>
          </cell>
          <cell r="E13">
            <v>7399.4160000000002</v>
          </cell>
          <cell r="F13">
            <v>9874.5</v>
          </cell>
          <cell r="G13">
            <v>7155.4</v>
          </cell>
        </row>
        <row r="14">
          <cell r="A14" t="str">
            <v>О9100000000</v>
          </cell>
          <cell r="B14" t="str">
            <v>обласний бюджет Iвано-Франкiвської області</v>
          </cell>
          <cell r="C14">
            <v>3578.223</v>
          </cell>
          <cell r="D14">
            <v>5867.2309999999998</v>
          </cell>
          <cell r="E14">
            <v>6297.893</v>
          </cell>
          <cell r="F14">
            <v>9563.7000000000007</v>
          </cell>
          <cell r="G14">
            <v>3616.2</v>
          </cell>
        </row>
        <row r="15">
          <cell r="A15">
            <v>10100000000</v>
          </cell>
          <cell r="B15" t="str">
            <v>обласний бюджет Київської області</v>
          </cell>
          <cell r="C15">
            <v>10302.385</v>
          </cell>
          <cell r="D15">
            <v>16146.352999999999</v>
          </cell>
          <cell r="E15">
            <v>13833.255999999999</v>
          </cell>
          <cell r="F15">
            <v>18290.400000000001</v>
          </cell>
          <cell r="G15">
            <v>7404.9</v>
          </cell>
        </row>
        <row r="16">
          <cell r="A16">
            <v>11100000000</v>
          </cell>
          <cell r="B16" t="str">
            <v>обласний бюджет Кiровоградської області</v>
          </cell>
          <cell r="C16">
            <v>3580.96</v>
          </cell>
          <cell r="D16">
            <v>4993.7330000000002</v>
          </cell>
          <cell r="E16">
            <v>3976.05</v>
          </cell>
          <cell r="F16">
            <v>7419.8</v>
          </cell>
          <cell r="G16">
            <v>5284.3</v>
          </cell>
        </row>
        <row r="17">
          <cell r="A17">
            <v>12100000000</v>
          </cell>
          <cell r="B17" t="str">
            <v>обласний бюджет Луганської області</v>
          </cell>
          <cell r="C17">
            <v>2843.239</v>
          </cell>
          <cell r="D17">
            <v>8978.6</v>
          </cell>
          <cell r="E17">
            <v>6927.87</v>
          </cell>
          <cell r="F17">
            <v>9087.1</v>
          </cell>
          <cell r="G17">
            <v>6148.4</v>
          </cell>
        </row>
        <row r="18">
          <cell r="A18">
            <v>13100000000</v>
          </cell>
          <cell r="B18" t="str">
            <v>обласний бюджет Львiвської області</v>
          </cell>
          <cell r="C18">
            <v>13665.8</v>
          </cell>
          <cell r="D18">
            <v>12546.388000000001</v>
          </cell>
          <cell r="E18">
            <v>13924.588</v>
          </cell>
          <cell r="F18">
            <v>16320</v>
          </cell>
          <cell r="G18">
            <v>5542.7</v>
          </cell>
        </row>
        <row r="19">
          <cell r="A19">
            <v>14100000000</v>
          </cell>
          <cell r="B19" t="str">
            <v>обласний бюджет Миколаївської області</v>
          </cell>
          <cell r="C19">
            <v>1582.5519999999999</v>
          </cell>
          <cell r="D19">
            <v>4228.6229999999996</v>
          </cell>
          <cell r="E19">
            <v>4112.8190000000004</v>
          </cell>
          <cell r="F19">
            <v>5079.6000000000004</v>
          </cell>
          <cell r="G19">
            <v>4261.3</v>
          </cell>
        </row>
        <row r="20">
          <cell r="A20">
            <v>15100000000</v>
          </cell>
          <cell r="B20" t="str">
            <v>обласний бюджет Одеської області</v>
          </cell>
          <cell r="C20">
            <v>3570.1010000000001</v>
          </cell>
          <cell r="D20">
            <v>8569.5969999999998</v>
          </cell>
          <cell r="E20">
            <v>7127.8249999999998</v>
          </cell>
          <cell r="F20">
            <v>11636.5</v>
          </cell>
          <cell r="G20">
            <v>10163.4</v>
          </cell>
        </row>
        <row r="21">
          <cell r="A21">
            <v>16100000000</v>
          </cell>
          <cell r="B21" t="str">
            <v>обласний бюджет Полтавської області</v>
          </cell>
          <cell r="C21">
            <v>5666.1139999999996</v>
          </cell>
          <cell r="D21">
            <v>6422.4319999999998</v>
          </cell>
          <cell r="E21">
            <v>7489.7539999999999</v>
          </cell>
          <cell r="F21">
            <v>15258.1</v>
          </cell>
          <cell r="G21">
            <v>5827</v>
          </cell>
        </row>
        <row r="22">
          <cell r="A22">
            <v>17100000000</v>
          </cell>
          <cell r="B22" t="str">
            <v>обласний бюджет Рiвненської області</v>
          </cell>
          <cell r="C22">
            <v>1969.902</v>
          </cell>
          <cell r="D22">
            <v>3336.444</v>
          </cell>
          <cell r="E22">
            <v>5380.4470000000001</v>
          </cell>
          <cell r="F22">
            <v>5543.9</v>
          </cell>
          <cell r="G22">
            <v>2982.7</v>
          </cell>
        </row>
        <row r="23">
          <cell r="A23">
            <v>18100000000</v>
          </cell>
          <cell r="B23" t="str">
            <v>обласний бюджет Сумської області</v>
          </cell>
          <cell r="C23">
            <v>4169.5280000000002</v>
          </cell>
          <cell r="D23">
            <v>3622.9929999999999</v>
          </cell>
          <cell r="E23">
            <v>7895.424</v>
          </cell>
          <cell r="F23">
            <v>8377.1</v>
          </cell>
          <cell r="G23">
            <v>4032.7</v>
          </cell>
        </row>
        <row r="24">
          <cell r="A24">
            <v>19100000000</v>
          </cell>
          <cell r="B24" t="str">
            <v>обласний бюджет Тернопiльської області</v>
          </cell>
          <cell r="C24">
            <v>3701.9160000000002</v>
          </cell>
          <cell r="D24">
            <v>4896.8559999999998</v>
          </cell>
          <cell r="E24">
            <v>5147.2650000000003</v>
          </cell>
          <cell r="F24">
            <v>6839.9</v>
          </cell>
          <cell r="G24">
            <v>1830.2</v>
          </cell>
        </row>
        <row r="25">
          <cell r="A25">
            <v>20100000000</v>
          </cell>
          <cell r="B25" t="str">
            <v>обласний бюджет Харкiвської області</v>
          </cell>
          <cell r="C25">
            <v>8386.9330000000009</v>
          </cell>
          <cell r="D25">
            <v>11698.075000000001</v>
          </cell>
          <cell r="E25">
            <v>14592.047</v>
          </cell>
          <cell r="F25">
            <v>27208.2</v>
          </cell>
          <cell r="G25">
            <v>13691.3</v>
          </cell>
        </row>
        <row r="26">
          <cell r="A26">
            <v>21100000000</v>
          </cell>
          <cell r="B26" t="str">
            <v>обласний бюджет Херсонської області</v>
          </cell>
          <cell r="C26">
            <v>2200.9679999999998</v>
          </cell>
          <cell r="D26">
            <v>3252.5390000000002</v>
          </cell>
          <cell r="E26">
            <v>3255.58</v>
          </cell>
          <cell r="F26">
            <v>5299.7</v>
          </cell>
          <cell r="G26">
            <v>3272.2</v>
          </cell>
        </row>
        <row r="27">
          <cell r="A27">
            <v>22100000000</v>
          </cell>
          <cell r="B27" t="str">
            <v>обласний бюджет Хмельницької області</v>
          </cell>
          <cell r="C27">
            <v>4049.5320000000002</v>
          </cell>
          <cell r="D27">
            <v>6627.4</v>
          </cell>
          <cell r="E27">
            <v>4533.01</v>
          </cell>
          <cell r="F27">
            <v>8290.9</v>
          </cell>
          <cell r="G27">
            <v>5960.3</v>
          </cell>
        </row>
        <row r="28">
          <cell r="A28">
            <v>23100000000</v>
          </cell>
          <cell r="B28" t="str">
            <v>обласний бюджет Черкаської області</v>
          </cell>
          <cell r="C28">
            <v>5316.2910000000002</v>
          </cell>
          <cell r="D28">
            <v>6217.3370000000004</v>
          </cell>
          <cell r="E28">
            <v>6195.89</v>
          </cell>
          <cell r="F28">
            <v>10165</v>
          </cell>
          <cell r="G28">
            <v>4770.5</v>
          </cell>
        </row>
        <row r="29">
          <cell r="A29">
            <v>24100000000</v>
          </cell>
          <cell r="B29" t="str">
            <v>обласний бюджет Чернiвецької області</v>
          </cell>
          <cell r="C29">
            <v>1761.75</v>
          </cell>
          <cell r="D29">
            <v>2010.7829999999999</v>
          </cell>
          <cell r="E29">
            <v>1999.8030000000001</v>
          </cell>
          <cell r="F29">
            <v>3410.4</v>
          </cell>
          <cell r="G29">
            <v>2092.5</v>
          </cell>
        </row>
        <row r="30">
          <cell r="A30">
            <v>25100000000</v>
          </cell>
          <cell r="B30" t="str">
            <v>обласний бюджет Чернiгiвецької області</v>
          </cell>
          <cell r="C30">
            <v>4501.0339999999997</v>
          </cell>
          <cell r="D30">
            <v>5828.5460000000003</v>
          </cell>
          <cell r="E30">
            <v>5312.768</v>
          </cell>
          <cell r="F30">
            <v>8541</v>
          </cell>
          <cell r="G30">
            <v>4831.6000000000004</v>
          </cell>
        </row>
        <row r="31">
          <cell r="A31">
            <v>26000000000</v>
          </cell>
          <cell r="B31" t="str">
            <v>м.Київ</v>
          </cell>
          <cell r="C31">
            <v>4478.4290000000001</v>
          </cell>
          <cell r="D31">
            <v>7686.2479999999996</v>
          </cell>
          <cell r="E31">
            <v>8581.6080000000002</v>
          </cell>
          <cell r="F31">
            <v>12592.5</v>
          </cell>
          <cell r="G31">
            <v>10211.1</v>
          </cell>
        </row>
        <row r="32">
          <cell r="A32">
            <v>27000000000</v>
          </cell>
          <cell r="B32" t="str">
            <v>м.Севастополь</v>
          </cell>
          <cell r="C32">
            <v>656.43700000000001</v>
          </cell>
          <cell r="D32">
            <v>1870.8869999999999</v>
          </cell>
          <cell r="E32">
            <v>1073.652</v>
          </cell>
          <cell r="F32">
            <v>1527.6130000000001</v>
          </cell>
          <cell r="G32">
            <v>1254.8</v>
          </cell>
        </row>
        <row r="33">
          <cell r="B33" t="str">
            <v xml:space="preserve">Всього </v>
          </cell>
          <cell r="C33">
            <v>126052.70000000001</v>
          </cell>
          <cell r="D33">
            <v>196276.74499999997</v>
          </cell>
          <cell r="E33">
            <v>196100.90000000005</v>
          </cell>
          <cell r="F33">
            <v>281270.80000000005</v>
          </cell>
          <cell r="G33">
            <v>158658.49999999997</v>
          </cell>
        </row>
        <row r="38">
          <cell r="C38">
            <v>126052.7</v>
          </cell>
          <cell r="D38">
            <v>196276.74499999997</v>
          </cell>
          <cell r="E38">
            <v>196100.9</v>
          </cell>
          <cell r="F38">
            <v>281270.8</v>
          </cell>
          <cell r="G38">
            <v>158658.5</v>
          </cell>
        </row>
        <row r="41">
          <cell r="C41">
            <v>0</v>
          </cell>
          <cell r="D41">
            <v>0</v>
          </cell>
          <cell r="E41">
            <v>0</v>
          </cell>
          <cell r="F41">
            <v>0</v>
          </cell>
          <cell r="G41">
            <v>0</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Ener "/>
      <sheetName val="Лист1"/>
      <sheetName val="Inform"/>
      <sheetName val="7  інші витрати"/>
      <sheetName val="додаток до звіту"/>
      <sheetName val="ТРП"/>
      <sheetName val="1993"/>
      <sheetName val="МТР все 2"/>
      <sheetName val="МТР_Газ_України"/>
      <sheetName val="МТР Апарат"/>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МТР_Апарат"/>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 val="812"/>
      <sheetName val="Ф2"/>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
      <sheetName val="ВАТ"/>
      <sheetName val="ВАТ_фил"/>
      <sheetName val="383,40ч"/>
      <sheetName val="383,40т"/>
      <sheetName val="686,00"/>
      <sheetName val="област"/>
      <sheetName val="Сторно"/>
      <sheetName val="Пряма_труба"/>
      <sheetName val="БАЗА   (2)"/>
      <sheetName val="БАЗА   (3)"/>
      <sheetName val="БАЗА   (5)"/>
      <sheetName val="БАЗА   (4)"/>
      <sheetName val="МТР Газ України"/>
      <sheetName val="БАЗА__"/>
      <sheetName val="БАЗА___(2)"/>
      <sheetName val="БАЗА___(3)"/>
      <sheetName val="БАЗА___(5)"/>
      <sheetName val="БАЗА___(4)"/>
      <sheetName val="7  Інші витрат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3"/>
      <sheetName val="БАЗА  "/>
      <sheetName val="Inform"/>
      <sheetName val="МТР Газ України"/>
      <sheetName val="7  інші витрати"/>
      <sheetName val="Лист1"/>
      <sheetName val="BGVN1"/>
    </sheetNames>
    <sheetDataSet>
      <sheetData sheetId="0" refreshError="1">
        <row r="1">
          <cell r="D1" t="str">
            <v>Баланс грошових доходiв i витрат населення Украјни у</v>
          </cell>
          <cell r="K1" t="str">
            <v>GOD</v>
          </cell>
        </row>
        <row r="2">
          <cell r="K2">
            <v>1993</v>
          </cell>
          <cell r="L2" t="str">
            <v>роцi</v>
          </cell>
        </row>
        <row r="3">
          <cell r="N3" t="str">
            <v>(млрд.крб)</v>
          </cell>
        </row>
        <row r="5">
          <cell r="A5" t="str">
            <v>А. ГРОШОВI ДОХОДИ</v>
          </cell>
        </row>
        <row r="6">
          <cell r="A6" t="str">
            <v>1.Заробiтна плата</v>
          </cell>
        </row>
        <row r="7">
          <cell r="A7" t="str">
            <v>2.Оплата працi робiтникiв</v>
          </cell>
        </row>
        <row r="8">
          <cell r="A8" t="str">
            <v xml:space="preserve">  кооперативiв</v>
          </cell>
        </row>
        <row r="9">
          <cell r="A9" t="str">
            <v>3.Доходи робiтникiв та служ-</v>
          </cell>
        </row>
        <row r="10">
          <cell r="A10" t="str">
            <v xml:space="preserve">  бовцiв вiд пiдприїмств та</v>
          </cell>
        </row>
        <row r="11">
          <cell r="A11" t="str">
            <v xml:space="preserve">  органiзацiй крiм зар.плати</v>
          </cell>
        </row>
        <row r="12">
          <cell r="A12" t="str">
            <v xml:space="preserve">4.Грошовi доходи вiд   </v>
          </cell>
        </row>
        <row r="13">
          <cell r="A13" t="str">
            <v xml:space="preserve">  колгоспiв            </v>
          </cell>
        </row>
        <row r="14">
          <cell r="A14" t="str">
            <v>5.Надходження вiд продажу</v>
          </cell>
        </row>
        <row r="15">
          <cell r="A15" t="str">
            <v xml:space="preserve">  продуктiв сiльсьгого госп.</v>
          </cell>
        </row>
        <row r="16">
          <cell r="A16" t="str">
            <v>Всього трудових доходiв</v>
          </cell>
        </row>
        <row r="17">
          <cell r="A17" t="str">
            <v>(рядки 1+2+3+4+5)</v>
          </cell>
        </row>
        <row r="18">
          <cell r="A18" t="str">
            <v>6.Пенсiј, допомоги,стипендiј</v>
          </cell>
        </row>
        <row r="19">
          <cell r="A19" t="str">
            <v xml:space="preserve">  та iншi надходження</v>
          </cell>
        </row>
        <row r="20">
          <cell r="A20" t="str">
            <v xml:space="preserve">     в тому числi:</v>
          </cell>
        </row>
        <row r="21">
          <cell r="A21" t="str">
            <v xml:space="preserve"> пенсiј, допомоги, стипендiј</v>
          </cell>
        </row>
        <row r="22">
          <cell r="A22" t="str">
            <v>Баланс</v>
          </cell>
        </row>
        <row r="23">
          <cell r="A23" t="str">
            <v>Б.ВИТРАТИ ТА ЗАОЩАДЖЕННЯ</v>
          </cell>
        </row>
        <row r="24">
          <cell r="A24" t="str">
            <v>1.Покупка товарiв та оплата</v>
          </cell>
        </row>
        <row r="25">
          <cell r="A25" t="str">
            <v xml:space="preserve">  послуг</v>
          </cell>
        </row>
        <row r="26">
          <cell r="A26" t="str">
            <v xml:space="preserve">    в тому числi:</v>
          </cell>
        </row>
        <row r="27">
          <cell r="A27" t="str">
            <v xml:space="preserve"> покупка товарiв       </v>
          </cell>
        </row>
        <row r="28">
          <cell r="A28" t="str">
            <v xml:space="preserve"> оплата послуг         </v>
          </cell>
        </row>
        <row r="29">
          <cell r="A29" t="str">
            <v>2.Обов'язковi платежi та</v>
          </cell>
        </row>
        <row r="30">
          <cell r="A30" t="str">
            <v xml:space="preserve">  добровiльнi внески</v>
          </cell>
        </row>
        <row r="31">
          <cell r="A31" t="str">
            <v xml:space="preserve">       iз них:</v>
          </cell>
        </row>
        <row r="32">
          <cell r="A32" t="str">
            <v xml:space="preserve"> прибутковий податок з </v>
          </cell>
        </row>
        <row r="33">
          <cell r="A33" t="str">
            <v xml:space="preserve"> населення             </v>
          </cell>
        </row>
        <row r="34">
          <cell r="A34" t="str">
            <v>3.Прирiст вкладiв,придбання</v>
          </cell>
        </row>
        <row r="35">
          <cell r="A35" t="str">
            <v xml:space="preserve">  облiгацiй Державној внутр.</v>
          </cell>
        </row>
        <row r="36">
          <cell r="A36" t="str">
            <v xml:space="preserve">  позики,iнш.цiнних паперiв  </v>
          </cell>
        </row>
        <row r="37">
          <cell r="A37" t="str">
            <v>Всього</v>
          </cell>
        </row>
        <row r="38">
          <cell r="A38" t="str">
            <v xml:space="preserve">В. Перевищення доходiв над </v>
          </cell>
        </row>
        <row r="39">
          <cell r="A39" t="str">
            <v xml:space="preserve">   витратами</v>
          </cell>
        </row>
        <row r="40">
          <cell r="A40" t="str">
            <v>Баланс</v>
          </cell>
        </row>
        <row r="41">
          <cell r="A41" t="str">
            <v>_x000C_</v>
          </cell>
        </row>
        <row r="46">
          <cell r="A46" t="str">
            <v>А. ГРОШОВI ДОХОДИ</v>
          </cell>
        </row>
        <row r="47">
          <cell r="A47" t="str">
            <v>1.Заробiтна плата</v>
          </cell>
        </row>
        <row r="48">
          <cell r="A48" t="str">
            <v>2.Оплата працi робiтникiв</v>
          </cell>
        </row>
        <row r="49">
          <cell r="A49" t="str">
            <v xml:space="preserve">  кооперативiв</v>
          </cell>
        </row>
        <row r="50">
          <cell r="A50" t="str">
            <v>3.Доходи робiтникiв та служ-</v>
          </cell>
        </row>
        <row r="51">
          <cell r="A51" t="str">
            <v xml:space="preserve">  бовцiв вiд пiдприїмств та</v>
          </cell>
        </row>
        <row r="52">
          <cell r="A52" t="str">
            <v xml:space="preserve">  органiзацiй крiм зар.плати</v>
          </cell>
        </row>
        <row r="53">
          <cell r="A53" t="str">
            <v xml:space="preserve">4.Грошовi доходи вiд   </v>
          </cell>
        </row>
        <row r="54">
          <cell r="A54" t="str">
            <v xml:space="preserve">  колгоспiв            </v>
          </cell>
        </row>
        <row r="55">
          <cell r="A55" t="str">
            <v>5.Надходження вiд продажу</v>
          </cell>
        </row>
        <row r="56">
          <cell r="A56" t="str">
            <v xml:space="preserve">  продуктiв сiльсьгого госп.</v>
          </cell>
        </row>
        <row r="57">
          <cell r="A57" t="str">
            <v>Всього трудових доходiв</v>
          </cell>
        </row>
        <row r="58">
          <cell r="A58" t="str">
            <v>(рядки 1+2+3+4+5)</v>
          </cell>
        </row>
        <row r="59">
          <cell r="A59" t="str">
            <v>6.Пенсiј, допомоги,стипендiј</v>
          </cell>
        </row>
        <row r="60">
          <cell r="A60" t="str">
            <v xml:space="preserve">  та iншi надходження</v>
          </cell>
        </row>
        <row r="61">
          <cell r="A61" t="str">
            <v xml:space="preserve">     в тому числi:</v>
          </cell>
        </row>
        <row r="62">
          <cell r="A62" t="str">
            <v xml:space="preserve"> пенсiј, допомоги, стипендiј</v>
          </cell>
        </row>
        <row r="63">
          <cell r="A63" t="str">
            <v>Баланс</v>
          </cell>
        </row>
        <row r="64">
          <cell r="A64" t="str">
            <v>Б.ВИТРАТИ ТА ЗАОЩАДЖЕННЯ</v>
          </cell>
        </row>
        <row r="65">
          <cell r="A65" t="str">
            <v>1.Покупка товарiв та оплата</v>
          </cell>
        </row>
        <row r="66">
          <cell r="A66" t="str">
            <v xml:space="preserve">  послуг</v>
          </cell>
        </row>
        <row r="67">
          <cell r="A67" t="str">
            <v xml:space="preserve">    в тому числi:</v>
          </cell>
        </row>
        <row r="68">
          <cell r="A68" t="str">
            <v xml:space="preserve"> покупка товарiв       </v>
          </cell>
        </row>
        <row r="69">
          <cell r="A69" t="str">
            <v xml:space="preserve"> оплата послуг         </v>
          </cell>
        </row>
        <row r="70">
          <cell r="A70" t="str">
            <v>2.Обов'язковi платежi та</v>
          </cell>
        </row>
        <row r="71">
          <cell r="A71" t="str">
            <v xml:space="preserve">  добровiльнi внески</v>
          </cell>
        </row>
        <row r="72">
          <cell r="A72" t="str">
            <v xml:space="preserve">       iз них:</v>
          </cell>
        </row>
        <row r="73">
          <cell r="A73" t="str">
            <v xml:space="preserve"> прибутковий податок з </v>
          </cell>
        </row>
        <row r="74">
          <cell r="A74" t="str">
            <v xml:space="preserve"> населення             </v>
          </cell>
        </row>
        <row r="75">
          <cell r="A75" t="str">
            <v>3.Прирiст вкладiв,придбання</v>
          </cell>
        </row>
        <row r="76">
          <cell r="A76" t="str">
            <v xml:space="preserve">  облiгацiй Державној внутр.</v>
          </cell>
        </row>
        <row r="77">
          <cell r="A77" t="str">
            <v xml:space="preserve">  позики,iнш.цiнних паперiв  </v>
          </cell>
        </row>
        <row r="78">
          <cell r="A78" t="str">
            <v>Всього</v>
          </cell>
        </row>
        <row r="79">
          <cell r="A79" t="str">
            <v xml:space="preserve">В. Перевищення доходiв над </v>
          </cell>
        </row>
        <row r="80">
          <cell r="A80" t="str">
            <v xml:space="preserve">   витратами</v>
          </cell>
        </row>
        <row r="81">
          <cell r="A81" t="str">
            <v>Баланс</v>
          </cell>
        </row>
        <row r="82">
          <cell r="A82" t="str">
            <v xml:space="preserve">        Довiдково: чисельнiсть населення в</v>
          </cell>
        </row>
        <row r="83">
          <cell r="A83" t="str">
            <v>_x000C_</v>
          </cell>
        </row>
        <row r="88">
          <cell r="A88" t="str">
            <v>А. ГРОШОВI ДОХОДИ</v>
          </cell>
        </row>
        <row r="89">
          <cell r="A89" t="str">
            <v>1.Заробiтна плата</v>
          </cell>
        </row>
        <row r="90">
          <cell r="A90" t="str">
            <v>2.Оплата працi робiтникiв</v>
          </cell>
        </row>
        <row r="91">
          <cell r="A91" t="str">
            <v xml:space="preserve">  кооперативiв</v>
          </cell>
        </row>
        <row r="92">
          <cell r="A92" t="str">
            <v>3.Доходи робiтникiв та служ-</v>
          </cell>
        </row>
        <row r="93">
          <cell r="A93" t="str">
            <v xml:space="preserve">  бовцiв вiд пiдприїмств та</v>
          </cell>
        </row>
        <row r="94">
          <cell r="A94" t="str">
            <v xml:space="preserve">  органiзацiй крiм зар.плати</v>
          </cell>
        </row>
        <row r="95">
          <cell r="A95" t="str">
            <v xml:space="preserve">4.Грошовi доходи вiд   </v>
          </cell>
        </row>
        <row r="96">
          <cell r="A96" t="str">
            <v xml:space="preserve">  колгоспiв            </v>
          </cell>
        </row>
        <row r="97">
          <cell r="A97" t="str">
            <v>5.Надходження вiд продажу</v>
          </cell>
        </row>
        <row r="98">
          <cell r="A98" t="str">
            <v xml:space="preserve">  продуктiв сiльсьгого госп.</v>
          </cell>
        </row>
        <row r="99">
          <cell r="A99" t="str">
            <v>Всього трудових доходiв</v>
          </cell>
        </row>
        <row r="100">
          <cell r="A100" t="str">
            <v>(рядки 1+2+3+4+5)</v>
          </cell>
        </row>
        <row r="101">
          <cell r="A101" t="str">
            <v>6.Пенсiј, допомоги,стипендiј</v>
          </cell>
        </row>
        <row r="102">
          <cell r="A102" t="str">
            <v xml:space="preserve">  та iншi надходження</v>
          </cell>
        </row>
        <row r="103">
          <cell r="A103" t="str">
            <v xml:space="preserve">     в тому числi:</v>
          </cell>
        </row>
        <row r="104">
          <cell r="A104" t="str">
            <v xml:space="preserve"> пенсiј, допомоги, стипендiј</v>
          </cell>
        </row>
        <row r="105">
          <cell r="A105" t="str">
            <v>Баланс</v>
          </cell>
        </row>
        <row r="106">
          <cell r="A106" t="str">
            <v>Б.ВИТРАТИ ТА ЗАОЩАДЖЕННЯ</v>
          </cell>
        </row>
        <row r="107">
          <cell r="A107" t="str">
            <v>1.Покупка товарiв та оплата</v>
          </cell>
        </row>
        <row r="108">
          <cell r="A108" t="str">
            <v xml:space="preserve">  послуг</v>
          </cell>
        </row>
        <row r="109">
          <cell r="A109" t="str">
            <v xml:space="preserve">    в тому числi:</v>
          </cell>
        </row>
        <row r="110">
          <cell r="A110" t="str">
            <v xml:space="preserve"> покупка товарiв       </v>
          </cell>
        </row>
        <row r="111">
          <cell r="A111" t="str">
            <v xml:space="preserve"> оплата послуг         </v>
          </cell>
        </row>
        <row r="112">
          <cell r="A112" t="str">
            <v>2.Обов'язковi платежi та</v>
          </cell>
        </row>
        <row r="113">
          <cell r="A113" t="str">
            <v xml:space="preserve">  добровiльнi внески</v>
          </cell>
        </row>
        <row r="114">
          <cell r="A114" t="str">
            <v xml:space="preserve">       iз них:</v>
          </cell>
        </row>
        <row r="115">
          <cell r="A115" t="str">
            <v xml:space="preserve"> прибутковий податок з </v>
          </cell>
        </row>
        <row r="116">
          <cell r="A116" t="str">
            <v xml:space="preserve"> населення             </v>
          </cell>
        </row>
        <row r="117">
          <cell r="A117" t="str">
            <v>3.Прирiст вкладiв,придбання</v>
          </cell>
        </row>
        <row r="118">
          <cell r="A118" t="str">
            <v xml:space="preserve">  облiгацiй Державној внутр.</v>
          </cell>
        </row>
        <row r="119">
          <cell r="A119" t="str">
            <v xml:space="preserve">  позики,iнш.цiнних паперiв  </v>
          </cell>
        </row>
        <row r="120">
          <cell r="A120" t="str">
            <v>Всього</v>
          </cell>
        </row>
        <row r="121">
          <cell r="A121" t="str">
            <v xml:space="preserve">В. Перевищення доходiв над </v>
          </cell>
        </row>
        <row r="122">
          <cell r="A122" t="str">
            <v xml:space="preserve">   витратами</v>
          </cell>
        </row>
        <row r="123">
          <cell r="A123" t="str">
            <v>Баланс</v>
          </cell>
        </row>
        <row r="124">
          <cell r="A124" t="str">
            <v>_x000C_</v>
          </cell>
        </row>
        <row r="130">
          <cell r="A130" t="str">
            <v>А. ГРОШОВI ДОХОДИ</v>
          </cell>
        </row>
        <row r="131">
          <cell r="A131" t="str">
            <v>1.Заробiтна плата</v>
          </cell>
        </row>
        <row r="132">
          <cell r="A132" t="str">
            <v>2.Оплата працi робiтникiв</v>
          </cell>
        </row>
        <row r="133">
          <cell r="A133" t="str">
            <v xml:space="preserve">  кооперативiв</v>
          </cell>
        </row>
        <row r="134">
          <cell r="A134" t="str">
            <v>3.Доходи робiтникiв та служ-</v>
          </cell>
        </row>
        <row r="135">
          <cell r="A135" t="str">
            <v xml:space="preserve">  бовцiв вiд пiдприїмств та</v>
          </cell>
        </row>
        <row r="136">
          <cell r="A136" t="str">
            <v xml:space="preserve">  органiзацiй крiм зар.плати</v>
          </cell>
        </row>
        <row r="137">
          <cell r="A137" t="str">
            <v xml:space="preserve">4.Грошовi доходи вiд   </v>
          </cell>
        </row>
        <row r="138">
          <cell r="A138" t="str">
            <v xml:space="preserve">  колгоспiв            </v>
          </cell>
        </row>
        <row r="139">
          <cell r="A139" t="str">
            <v>5.Надходження вiд продажу</v>
          </cell>
        </row>
        <row r="140">
          <cell r="A140" t="str">
            <v xml:space="preserve">  продуктiв сiльсьгого госп.</v>
          </cell>
        </row>
        <row r="141">
          <cell r="A141" t="str">
            <v>Всього трудових доходiв</v>
          </cell>
        </row>
        <row r="142">
          <cell r="A142" t="str">
            <v>(рядки 1+2+3+4+5)</v>
          </cell>
        </row>
        <row r="143">
          <cell r="A143" t="str">
            <v>6.Пенсiј, допомоги,стипендiј</v>
          </cell>
        </row>
        <row r="144">
          <cell r="A144" t="str">
            <v xml:space="preserve">  та iншi надходження</v>
          </cell>
        </row>
        <row r="145">
          <cell r="A145" t="str">
            <v xml:space="preserve">     в тому числi:</v>
          </cell>
        </row>
        <row r="146">
          <cell r="A146" t="str">
            <v xml:space="preserve"> пенсiј, допомоги, стипендiј</v>
          </cell>
        </row>
        <row r="147">
          <cell r="A147" t="str">
            <v>Баланс</v>
          </cell>
        </row>
        <row r="148">
          <cell r="A148" t="str">
            <v>Б.ВИТРАТИ ТА ЗАОЩАДЖЕННЯ</v>
          </cell>
        </row>
        <row r="149">
          <cell r="A149" t="str">
            <v>1.Покупка товарiв та оплата</v>
          </cell>
        </row>
        <row r="150">
          <cell r="A150" t="str">
            <v xml:space="preserve">  послуг</v>
          </cell>
        </row>
        <row r="151">
          <cell r="A151" t="str">
            <v xml:space="preserve">    в тому числi:</v>
          </cell>
        </row>
        <row r="152">
          <cell r="A152" t="str">
            <v xml:space="preserve"> покупка товарiв       </v>
          </cell>
        </row>
        <row r="153">
          <cell r="A153" t="str">
            <v xml:space="preserve"> оплата послуг         </v>
          </cell>
        </row>
        <row r="154">
          <cell r="A154" t="str">
            <v>2.Обов'язковi платежi та</v>
          </cell>
        </row>
        <row r="155">
          <cell r="A155" t="str">
            <v xml:space="preserve">  добровiльнi внески</v>
          </cell>
        </row>
        <row r="156">
          <cell r="A156" t="str">
            <v xml:space="preserve">       iз них:</v>
          </cell>
        </row>
        <row r="157">
          <cell r="A157" t="str">
            <v xml:space="preserve"> прибутковий податок з </v>
          </cell>
        </row>
        <row r="158">
          <cell r="A158" t="str">
            <v xml:space="preserve"> населення             </v>
          </cell>
        </row>
        <row r="159">
          <cell r="A159" t="str">
            <v>3.Прирiст вкладiв,придбання</v>
          </cell>
        </row>
        <row r="160">
          <cell r="A160" t="str">
            <v xml:space="preserve">  облiгацiй Державној внутр.</v>
          </cell>
        </row>
        <row r="161">
          <cell r="A161" t="str">
            <v xml:space="preserve">  позики,iнш.цiнних паперiв  </v>
          </cell>
        </row>
        <row r="162">
          <cell r="A162" t="str">
            <v>Всього</v>
          </cell>
        </row>
        <row r="163">
          <cell r="A163" t="str">
            <v xml:space="preserve">В. Перевищення доходiв над </v>
          </cell>
        </row>
        <row r="164">
          <cell r="A164" t="str">
            <v xml:space="preserve">   витратами</v>
          </cell>
        </row>
        <row r="165">
          <cell r="A165" t="str">
            <v>Баланс</v>
          </cell>
        </row>
        <row r="166">
          <cell r="A166" t="str">
            <v>_x000C_</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Правила ДДС"/>
      <sheetName val="МТР Газ України"/>
    </sheetNames>
    <sheetDataSet>
      <sheetData sheetId="0" refreshError="1"/>
      <sheetData sheetId="1" refreshError="1">
        <row r="2">
          <cell r="F2" t="str">
            <v>Компания "Мама"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1993"/>
      <sheetName val="gd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 val="Inform"/>
      <sheetName val="1__поясн"/>
      <sheetName val="Вир_пок_(2)"/>
      <sheetName val="3__Ф2"/>
      <sheetName val="4__04_05"/>
      <sheetName val="4а_доходи"/>
      <sheetName val="4б_Собівартість_(транспортув)"/>
      <sheetName val="4б_Собівартість_(постач)"/>
      <sheetName val="4б_Собівартість_(скрапл__газ)"/>
      <sheetName val="5__Сб_Адм_Зб"/>
      <sheetName val="6__Інші_доходи"/>
      <sheetName val="7__Інші_витрати"/>
      <sheetName val="8__Кошт_вд_04"/>
      <sheetName val="9__Кошт_вд_05"/>
      <sheetName val="10__Кошт_вд_06"/>
      <sheetName val="10__Кошт_вд_06__1_"/>
      <sheetName val="10__Кошт_вд_06__2_"/>
      <sheetName val="10__Кошт_вд_06__3_"/>
      <sheetName val="10__Кошт_вд_06__4_"/>
      <sheetName val="11__Ф1"/>
      <sheetName val="13__95_р"/>
      <sheetName val="14_Коефіцієнтний_аналіз"/>
      <sheetName val="15_Рух_коштів"/>
      <sheetName val="16_Кап_вкл"/>
      <sheetName val="17_Фін_інв"/>
      <sheetName val="18_Подат"/>
      <sheetName val="19_МТР"/>
      <sheetName val="20_Внутр_оборот"/>
      <sheetName val="БАЗА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МТР Газ України"/>
      <sheetName val="Лист1"/>
      <sheetName val="consolidation hq formatted"/>
      <sheetName val="Ener "/>
    </sheetNames>
    <sheetDataSet>
      <sheetData sheetId="0" refreshError="1"/>
      <sheetData sheetId="1" refreshError="1">
        <row r="6">
          <cell r="E6" t="str">
            <v>31 декабря 2005 года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 val="Технич лист"/>
      <sheetName val="7  інші витрати"/>
      <sheetName val="МТР Газ України"/>
      <sheetName val="Ener "/>
      <sheetName val="gdp"/>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11)423+424"/>
      <sheetName val="Chart_of_accs"/>
      <sheetName val="МТР Газ України"/>
      <sheetName val="7  інші витрати"/>
      <sheetName val="ПАРАМЕТРИ"/>
    </sheetNames>
    <sheetDataSet>
      <sheetData sheetId="0" refreshError="1"/>
      <sheetData sheetId="1" refreshError="1">
        <row r="2">
          <cell r="G2">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реестр заявок"/>
      <sheetName val="ЗКЛ"/>
      <sheetName val="реестр_заявок"/>
      <sheetName val="Рабоч"/>
      <sheetName val="11)423+424"/>
      <sheetName val="Chart_of_accs"/>
      <sheetName val="Лист1"/>
      <sheetName val="база  "/>
      <sheetName val="База"/>
      <sheetName val="банк"/>
      <sheetName val="дез"/>
      <sheetName val="связь"/>
      <sheetName val="компод"/>
      <sheetName val="пож"/>
      <sheetName val="проезд"/>
      <sheetName val="страх"/>
    </sheetNames>
    <sheetDataSet>
      <sheetData sheetId="0" refreshError="1"/>
      <sheetData sheetId="1" refreshError="1">
        <row r="2">
          <cell r="G2">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
      <sheetName val="ВАТ"/>
      <sheetName val="ВАТ_фил"/>
      <sheetName val="210"/>
      <sheetName val="241,5"/>
      <sheetName val="област"/>
      <sheetName val="Сторно"/>
      <sheetName val="Пряма_труба"/>
      <sheetName val="БАЗА   (2)"/>
      <sheetName val="БАЗА   (3)"/>
      <sheetName val="БАЗА   (4)"/>
      <sheetName val="БАЗА   (5)"/>
      <sheetName val="БАЗА   (6)"/>
      <sheetName val="БАЗА   (7)"/>
      <sheetName val="БАЗА   (8)"/>
      <sheetName val="БАЗА   (9)"/>
      <sheetName val="БАЗА   (10)"/>
      <sheetName val="БАЗА   (12)"/>
      <sheetName val="БАЗА   (11)"/>
      <sheetName val="БАЗА   (13)"/>
      <sheetName val="БАЗА   (14)"/>
      <sheetName val="Inform"/>
      <sheetName val="БАЗА__"/>
      <sheetName val="БАЗА___(2)"/>
      <sheetName val="БАЗА___(3)"/>
      <sheetName val="БАЗА___(4)"/>
      <sheetName val="БАЗА___(5)"/>
      <sheetName val="БАЗА___(6)"/>
      <sheetName val="БАЗА___(7)"/>
      <sheetName val="БАЗА___(8)"/>
      <sheetName val="БАЗА___(9)"/>
      <sheetName val="БАЗА___(10)"/>
      <sheetName val="БАЗА___(12)"/>
      <sheetName val="БАЗА___(11)"/>
      <sheetName val="БАЗА___(13)"/>
      <sheetName val="БАЗА___(1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1011"/>
      <sheetName val="р.1012"/>
      <sheetName val="р.1013"/>
      <sheetName val="Відпустки 2020р."/>
      <sheetName val="р.1014"/>
      <sheetName val="р.1016"/>
      <sheetName val="р.1018-1"/>
      <sheetName val="р.1018-2"/>
      <sheetName val="р.1018-3"/>
      <sheetName val="р.1018-4"/>
      <sheetName val="р.1018-5"/>
      <sheetName val="р. 1018-6"/>
      <sheetName val="р.1018-7"/>
      <sheetName val="р.1046-1050"/>
      <sheetName val="р.1048"/>
      <sheetName val="р.1055"/>
      <sheetName val="р.1056"/>
      <sheetName val="р.1058"/>
      <sheetName val="р.1059"/>
      <sheetName val="р.1062-1"/>
      <sheetName val="р.1062-2"/>
      <sheetName val="р.1062-3"/>
      <sheetName val="р.1062-4"/>
      <sheetName val="1018-7"/>
      <sheetName val="р.1062-6"/>
      <sheetName val="Розділл 4. Кап.інв."/>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8">
          <cell r="D8">
            <v>0</v>
          </cell>
          <cell r="E8">
            <v>0</v>
          </cell>
          <cell r="F8">
            <v>0</v>
          </cell>
          <cell r="G8">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1993"/>
      <sheetName val="gdp"/>
      <sheetName val="додаток до звіту"/>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МТР Газ України"/>
      <sheetName val="1993"/>
    </sheetNames>
    <sheetDataSet>
      <sheetData sheetId="0" refreshError="1"/>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Лист2"/>
      <sheetName val="МТР Газ України"/>
      <sheetName val="додаток до звіту"/>
      <sheetName val="consolidation hq formatted"/>
      <sheetName val="1993"/>
    </sheetNames>
    <sheetDataSet>
      <sheetData sheetId="0"/>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sheetData sheetId="29" refreshError="1"/>
      <sheetData sheetId="3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1_Структура по елементах"/>
      <sheetName val="Д3"/>
      <sheetName val="МТР Газ України"/>
      <sheetName val="рік"/>
      <sheetName val="1993"/>
    </sheetNames>
    <sheetDataSet>
      <sheetData sheetId="0" refreshError="1"/>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 val="gdp"/>
      <sheetName val="МТР Газ України"/>
    </sheetNames>
    <sheetDataSet>
      <sheetData sheetId="0"/>
      <sheetData sheetId="1" refreshError="1"/>
      <sheetData sheetId="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Inform"/>
      <sheetName val="gdp"/>
      <sheetName val="1993"/>
      <sheetName val="1_Структура по елементах"/>
    </sheetNames>
    <sheetDataSet>
      <sheetData sheetId="0" refreshError="1"/>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J259"/>
  <sheetViews>
    <sheetView tabSelected="1" view="pageBreakPreview" zoomScale="75" zoomScaleNormal="75" zoomScaleSheetLayoutView="75" workbookViewId="0">
      <selection activeCell="G64" sqref="G64"/>
    </sheetView>
  </sheetViews>
  <sheetFormatPr defaultColWidth="9.140625" defaultRowHeight="18.75"/>
  <cols>
    <col min="1" max="1" width="60.28515625" style="2" customWidth="1"/>
    <col min="2" max="2" width="6.7109375" style="4" customWidth="1"/>
    <col min="3" max="3" width="13.28515625" style="4" customWidth="1"/>
    <col min="4" max="4" width="14.7109375" style="4" customWidth="1"/>
    <col min="5" max="5" width="15.42578125" style="4" customWidth="1"/>
    <col min="6" max="6" width="15" style="2" customWidth="1"/>
    <col min="7" max="7" width="19" style="2" customWidth="1"/>
    <col min="8" max="8" width="16" style="2" customWidth="1"/>
    <col min="9" max="10" width="9.140625" style="2"/>
    <col min="11" max="11" width="10.5703125" style="2" customWidth="1"/>
    <col min="12" max="16384" width="9.140625" style="2"/>
  </cols>
  <sheetData>
    <row r="1" spans="1:6" ht="20.25" customHeight="1">
      <c r="B1" s="17"/>
      <c r="D1" s="714"/>
      <c r="E1" s="714"/>
      <c r="F1" s="714"/>
    </row>
    <row r="2" spans="1:6" ht="65.25" customHeight="1">
      <c r="B2" s="17"/>
      <c r="D2" s="718"/>
      <c r="E2" s="718"/>
      <c r="F2" s="718"/>
    </row>
    <row r="3" spans="1:6" ht="18.75" customHeight="1">
      <c r="A3" s="4"/>
      <c r="D3" s="17"/>
      <c r="E3" s="17"/>
      <c r="F3" s="17"/>
    </row>
    <row r="4" spans="1:6" ht="18.75" customHeight="1">
      <c r="B4" s="2"/>
      <c r="D4" s="17"/>
      <c r="E4" s="17"/>
      <c r="F4" s="17"/>
    </row>
    <row r="5" spans="1:6" ht="18.75" customHeight="1">
      <c r="A5" s="2" t="s">
        <v>223</v>
      </c>
      <c r="B5" s="2"/>
      <c r="D5" s="714" t="s">
        <v>91</v>
      </c>
      <c r="E5" s="714"/>
      <c r="F5" s="22"/>
    </row>
    <row r="6" spans="1:6" ht="38.25" customHeight="1">
      <c r="A6" s="88" t="s">
        <v>543</v>
      </c>
      <c r="B6" s="88"/>
      <c r="D6" s="714" t="s">
        <v>222</v>
      </c>
      <c r="E6" s="714"/>
      <c r="F6" s="714"/>
    </row>
    <row r="7" spans="1:6" ht="39.75" customHeight="1">
      <c r="A7" s="88" t="s">
        <v>584</v>
      </c>
      <c r="B7" s="19"/>
      <c r="C7" s="3"/>
      <c r="D7" s="715" t="s">
        <v>400</v>
      </c>
      <c r="E7" s="715"/>
      <c r="F7" s="715"/>
    </row>
    <row r="8" spans="1:6" ht="20.25" customHeight="1">
      <c r="A8" s="89" t="s">
        <v>224</v>
      </c>
      <c r="B8" s="2"/>
      <c r="D8" s="2"/>
      <c r="E8" s="2"/>
    </row>
    <row r="9" spans="1:6" ht="19.5" customHeight="1">
      <c r="A9" s="143" t="s">
        <v>215</v>
      </c>
      <c r="B9" s="2"/>
      <c r="F9" s="17"/>
    </row>
    <row r="10" spans="1:6" ht="23.25" customHeight="1">
      <c r="A10" s="4"/>
      <c r="F10" s="17"/>
    </row>
    <row r="11" spans="1:6" ht="19.5" customHeight="1">
      <c r="A11" s="2" t="s">
        <v>223</v>
      </c>
      <c r="B11" s="2"/>
      <c r="D11" s="17"/>
      <c r="E11" s="17"/>
      <c r="F11" s="17"/>
    </row>
    <row r="12" spans="1:6" ht="35.25" customHeight="1">
      <c r="A12" s="88" t="s">
        <v>554</v>
      </c>
      <c r="B12" s="88"/>
      <c r="D12" s="17"/>
      <c r="E12" s="17"/>
      <c r="F12" s="17"/>
    </row>
    <row r="13" spans="1:6" ht="25.5" customHeight="1">
      <c r="A13" s="88" t="s">
        <v>585</v>
      </c>
      <c r="B13" s="88"/>
      <c r="D13" s="17"/>
      <c r="E13" s="17"/>
      <c r="F13" s="17"/>
    </row>
    <row r="14" spans="1:6" ht="18.75" customHeight="1">
      <c r="A14" s="720" t="s">
        <v>225</v>
      </c>
      <c r="B14" s="720"/>
      <c r="D14" s="17"/>
      <c r="E14" s="17"/>
      <c r="F14" s="17"/>
    </row>
    <row r="15" spans="1:6" ht="15.75" customHeight="1">
      <c r="A15" s="19" t="s">
        <v>226</v>
      </c>
      <c r="B15" s="19"/>
      <c r="D15" s="17"/>
      <c r="E15" s="17"/>
      <c r="F15" s="17"/>
    </row>
    <row r="16" spans="1:6" ht="15.75" customHeight="1">
      <c r="A16" s="144" t="s">
        <v>215</v>
      </c>
      <c r="B16" s="93"/>
    </row>
    <row r="17" spans="1:6" ht="21" customHeight="1">
      <c r="A17" s="721"/>
      <c r="B17" s="721"/>
      <c r="F17" s="4"/>
    </row>
    <row r="18" spans="1:6" ht="21" customHeight="1">
      <c r="B18" s="2"/>
      <c r="D18" s="42"/>
      <c r="E18" s="42"/>
      <c r="F18" s="42"/>
    </row>
    <row r="19" spans="1:6" ht="4.5" customHeight="1">
      <c r="F19" s="4"/>
    </row>
    <row r="20" spans="1:6" ht="37.5" customHeight="1">
      <c r="A20" s="722"/>
      <c r="B20" s="723"/>
      <c r="C20" s="723"/>
      <c r="D20" s="724"/>
      <c r="E20" s="138" t="s">
        <v>745</v>
      </c>
      <c r="F20" s="6" t="s">
        <v>163</v>
      </c>
    </row>
    <row r="21" spans="1:6" ht="34.5" customHeight="1">
      <c r="A21" s="719" t="s">
        <v>442</v>
      </c>
      <c r="B21" s="712"/>
      <c r="C21" s="712"/>
      <c r="D21" s="713"/>
      <c r="E21" s="59" t="s">
        <v>94</v>
      </c>
      <c r="F21" s="6">
        <v>41931754</v>
      </c>
    </row>
    <row r="22" spans="1:6" ht="24.95" customHeight="1">
      <c r="A22" s="48" t="s">
        <v>11</v>
      </c>
      <c r="B22" s="712" t="s">
        <v>443</v>
      </c>
      <c r="C22" s="712"/>
      <c r="D22" s="713"/>
      <c r="E22" s="59" t="s">
        <v>93</v>
      </c>
      <c r="F22" s="6">
        <v>150</v>
      </c>
    </row>
    <row r="23" spans="1:6" ht="24.95" customHeight="1">
      <c r="A23" s="48" t="s">
        <v>16</v>
      </c>
      <c r="B23" s="712" t="s">
        <v>582</v>
      </c>
      <c r="C23" s="712"/>
      <c r="D23" s="713"/>
      <c r="E23" s="59" t="s">
        <v>92</v>
      </c>
      <c r="F23" s="6">
        <v>1810136300</v>
      </c>
    </row>
    <row r="24" spans="1:6" ht="24.95" customHeight="1">
      <c r="A24" s="48" t="s">
        <v>53</v>
      </c>
      <c r="B24" s="712" t="s">
        <v>444</v>
      </c>
      <c r="C24" s="712"/>
      <c r="D24" s="713"/>
      <c r="E24" s="59" t="s">
        <v>6</v>
      </c>
      <c r="F24" s="6">
        <v>7184</v>
      </c>
    </row>
    <row r="25" spans="1:6" ht="24.95" customHeight="1">
      <c r="A25" s="48" t="s">
        <v>13</v>
      </c>
      <c r="B25" s="712" t="s">
        <v>445</v>
      </c>
      <c r="C25" s="712"/>
      <c r="D25" s="713"/>
      <c r="E25" s="59" t="s">
        <v>5</v>
      </c>
      <c r="F25" s="6">
        <v>91000</v>
      </c>
    </row>
    <row r="26" spans="1:6" ht="24.95" customHeight="1">
      <c r="A26" s="48" t="s">
        <v>12</v>
      </c>
      <c r="B26" s="712" t="s">
        <v>446</v>
      </c>
      <c r="C26" s="712"/>
      <c r="D26" s="713"/>
      <c r="E26" s="95" t="s">
        <v>7</v>
      </c>
      <c r="F26" s="6" t="s">
        <v>447</v>
      </c>
    </row>
    <row r="27" spans="1:6" ht="24.95" customHeight="1">
      <c r="A27" s="48" t="s">
        <v>186</v>
      </c>
      <c r="B27" s="94"/>
      <c r="C27" s="716" t="s">
        <v>579</v>
      </c>
      <c r="D27" s="717"/>
      <c r="E27" s="717"/>
      <c r="F27" s="7" t="s">
        <v>578</v>
      </c>
    </row>
    <row r="28" spans="1:6" ht="24.95" customHeight="1">
      <c r="A28" s="48" t="s">
        <v>581</v>
      </c>
      <c r="B28" s="94"/>
      <c r="C28" s="716" t="s">
        <v>580</v>
      </c>
      <c r="D28" s="717"/>
      <c r="E28" s="717"/>
      <c r="F28" s="10"/>
    </row>
    <row r="29" spans="1:6" ht="24.95" customHeight="1">
      <c r="A29" s="48" t="s">
        <v>86</v>
      </c>
      <c r="B29" s="94"/>
      <c r="C29" s="94"/>
      <c r="D29" s="94"/>
      <c r="E29" s="712">
        <v>504</v>
      </c>
      <c r="F29" s="713"/>
    </row>
    <row r="30" spans="1:6" ht="24.95" customHeight="1">
      <c r="A30" s="48" t="s">
        <v>8</v>
      </c>
      <c r="B30" s="94"/>
      <c r="C30" s="712" t="s">
        <v>448</v>
      </c>
      <c r="D30" s="712"/>
      <c r="E30" s="712"/>
      <c r="F30" s="713"/>
    </row>
    <row r="31" spans="1:6" ht="24.95" customHeight="1">
      <c r="A31" s="48" t="s">
        <v>9</v>
      </c>
      <c r="B31" s="94"/>
      <c r="C31" s="94"/>
      <c r="D31" s="712"/>
      <c r="E31" s="712"/>
      <c r="F31" s="713"/>
    </row>
    <row r="32" spans="1:6" ht="24.95" customHeight="1">
      <c r="A32" s="48" t="s">
        <v>10</v>
      </c>
      <c r="B32" s="94"/>
      <c r="C32" s="712" t="s">
        <v>758</v>
      </c>
      <c r="D32" s="712"/>
      <c r="E32" s="712"/>
      <c r="F32" s="713"/>
    </row>
    <row r="33" spans="1:8" ht="12.75" customHeight="1">
      <c r="B33" s="2"/>
      <c r="C33" s="2"/>
      <c r="D33" s="2"/>
      <c r="E33" s="2"/>
    </row>
    <row r="34" spans="1:8" ht="19.5" hidden="1" customHeight="1">
      <c r="B34" s="2"/>
      <c r="C34" s="2"/>
      <c r="D34" s="2"/>
      <c r="E34" s="2"/>
    </row>
    <row r="35" spans="1:8" ht="3.75" customHeight="1">
      <c r="B35" s="2"/>
      <c r="C35" s="2"/>
      <c r="D35" s="2"/>
      <c r="E35" s="2"/>
    </row>
    <row r="36" spans="1:8" ht="20.100000000000001" customHeight="1">
      <c r="B36" s="2"/>
      <c r="C36" s="2"/>
      <c r="D36" s="2"/>
      <c r="E36" s="2"/>
    </row>
    <row r="37" spans="1:8" ht="12.75" customHeight="1">
      <c r="A37" s="22"/>
      <c r="B37" s="2"/>
      <c r="D37" s="2"/>
      <c r="E37" s="2"/>
    </row>
    <row r="38" spans="1:8">
      <c r="A38" s="728" t="s">
        <v>757</v>
      </c>
      <c r="B38" s="728"/>
      <c r="C38" s="728"/>
      <c r="D38" s="728"/>
      <c r="E38" s="728"/>
      <c r="F38" s="728"/>
    </row>
    <row r="39" spans="1:8" ht="6.75" customHeight="1">
      <c r="A39" s="5"/>
      <c r="B39" s="11"/>
      <c r="C39" s="11"/>
      <c r="D39" s="11"/>
      <c r="E39" s="11"/>
      <c r="F39" s="11"/>
    </row>
    <row r="40" spans="1:8" ht="24.75" customHeight="1">
      <c r="A40" s="727" t="s">
        <v>139</v>
      </c>
      <c r="B40" s="727"/>
      <c r="C40" s="727"/>
      <c r="D40" s="727"/>
      <c r="E40" s="727"/>
      <c r="F40" s="727"/>
    </row>
    <row r="41" spans="1:8" ht="9" customHeight="1">
      <c r="B41" s="22"/>
      <c r="D41" s="22"/>
      <c r="E41" s="22"/>
      <c r="F41" s="22"/>
    </row>
    <row r="42" spans="1:8" ht="28.5" customHeight="1">
      <c r="A42" s="732" t="s">
        <v>167</v>
      </c>
      <c r="B42" s="733" t="s">
        <v>14</v>
      </c>
      <c r="C42" s="738" t="s">
        <v>23</v>
      </c>
      <c r="D42" s="738" t="s">
        <v>29</v>
      </c>
      <c r="E42" s="743" t="s">
        <v>113</v>
      </c>
      <c r="F42" s="734" t="s">
        <v>98</v>
      </c>
    </row>
    <row r="43" spans="1:8" ht="46.5" customHeight="1">
      <c r="A43" s="732"/>
      <c r="B43" s="733"/>
      <c r="C43" s="739"/>
      <c r="D43" s="739"/>
      <c r="E43" s="744"/>
      <c r="F43" s="734"/>
    </row>
    <row r="44" spans="1:8" ht="13.5" customHeight="1">
      <c r="A44" s="96">
        <v>1</v>
      </c>
      <c r="B44" s="92">
        <v>2</v>
      </c>
      <c r="C44" s="92">
        <v>3</v>
      </c>
      <c r="D44" s="92">
        <v>4</v>
      </c>
      <c r="E44" s="92">
        <v>5</v>
      </c>
      <c r="F44" s="92">
        <v>6</v>
      </c>
    </row>
    <row r="45" spans="1:8" ht="28.5" customHeight="1">
      <c r="A45" s="735" t="s">
        <v>76</v>
      </c>
      <c r="B45" s="736"/>
      <c r="C45" s="736"/>
      <c r="D45" s="736"/>
      <c r="E45" s="736"/>
      <c r="F45" s="737"/>
    </row>
    <row r="46" spans="1:8" ht="48" customHeight="1">
      <c r="A46" s="68" t="s">
        <v>140</v>
      </c>
      <c r="B46" s="86">
        <f>'I. Фін результат'!B7</f>
        <v>1000</v>
      </c>
      <c r="C46" s="179">
        <f>'I. Фін результат'!C7</f>
        <v>178349.1</v>
      </c>
      <c r="D46" s="180">
        <f>'I. Фін результат'!D7</f>
        <v>186222.3</v>
      </c>
      <c r="E46" s="180">
        <f>'I. Фін результат'!E7</f>
        <v>170500</v>
      </c>
      <c r="F46" s="180">
        <f>'I. Фін результат'!F7</f>
        <v>175768.7</v>
      </c>
      <c r="H46" s="211"/>
    </row>
    <row r="47" spans="1:8" ht="46.5" customHeight="1">
      <c r="A47" s="68" t="s">
        <v>117</v>
      </c>
      <c r="B47" s="86">
        <f>'I. Фін результат'!B14</f>
        <v>1010</v>
      </c>
      <c r="C47" s="197">
        <f>'I. Фін результат'!C14</f>
        <v>-173400</v>
      </c>
      <c r="D47" s="180">
        <f>'I. Фін результат'!D14</f>
        <v>-182087.6</v>
      </c>
      <c r="E47" s="180">
        <f>'I. Фін результат'!E14</f>
        <v>-160897.83999999997</v>
      </c>
      <c r="F47" s="180">
        <f>'I. Фін результат'!F14</f>
        <v>-165397.34999999998</v>
      </c>
    </row>
    <row r="48" spans="1:8" ht="23.25" customHeight="1">
      <c r="A48" s="69" t="s">
        <v>187</v>
      </c>
      <c r="B48" s="86">
        <f>'I. Фін результат'!B33</f>
        <v>1020</v>
      </c>
      <c r="C48" s="179">
        <f>'I. Фін результат'!C33</f>
        <v>4949.1000000000058</v>
      </c>
      <c r="D48" s="180">
        <f>'I. Фін результат'!D33</f>
        <v>4134.6999999999825</v>
      </c>
      <c r="E48" s="180">
        <f>'I. Фін результат'!E33</f>
        <v>9602.1600000000326</v>
      </c>
      <c r="F48" s="180">
        <f>'I. Фін результат'!F33</f>
        <v>10371.350000000035</v>
      </c>
    </row>
    <row r="49" spans="1:6" ht="28.5" customHeight="1">
      <c r="A49" s="68" t="s">
        <v>102</v>
      </c>
      <c r="B49" s="86">
        <f>'I. Фін результат'!B44</f>
        <v>1040</v>
      </c>
      <c r="C49" s="179">
        <f>'I. Фін результат'!C44</f>
        <v>-2188.9</v>
      </c>
      <c r="D49" s="180">
        <f>'I. Фін результат'!D44</f>
        <v>-3296.5</v>
      </c>
      <c r="E49" s="180">
        <f>'I. Фін результат'!E44</f>
        <v>-8402.9</v>
      </c>
      <c r="F49" s="180">
        <f>'I. Фін результат'!F44</f>
        <v>-10371.400000000001</v>
      </c>
    </row>
    <row r="50" spans="1:6" ht="23.25" customHeight="1">
      <c r="A50" s="68" t="s">
        <v>99</v>
      </c>
      <c r="B50" s="86">
        <f>'I. Фін результат'!B73</f>
        <v>1070</v>
      </c>
      <c r="C50" s="179">
        <f>'I. Фін результат'!C73</f>
        <v>0</v>
      </c>
      <c r="D50" s="180">
        <f>'I. Фін результат'!D73</f>
        <v>0</v>
      </c>
      <c r="E50" s="180">
        <f>'I. Фін результат'!E73</f>
        <v>0</v>
      </c>
      <c r="F50" s="180">
        <f>'I. Фін результат'!F73</f>
        <v>0</v>
      </c>
    </row>
    <row r="51" spans="1:6" ht="26.25" customHeight="1">
      <c r="A51" s="68" t="s">
        <v>103</v>
      </c>
      <c r="B51" s="86">
        <f>'I. Фін результат'!B116</f>
        <v>1300</v>
      </c>
      <c r="C51" s="179">
        <f>'I. Фін результат'!C116</f>
        <v>3434.5999999999985</v>
      </c>
      <c r="D51" s="180">
        <f>'I. Фін результат'!D116</f>
        <v>1790.8000000000029</v>
      </c>
      <c r="E51" s="180">
        <f>'I. Фін результат'!E116</f>
        <v>-172.39999999999418</v>
      </c>
      <c r="F51" s="180">
        <f>'I. Фін результат'!F116</f>
        <v>853.49999999999909</v>
      </c>
    </row>
    <row r="52" spans="1:6" ht="34.5" customHeight="1">
      <c r="A52" s="34" t="s">
        <v>1</v>
      </c>
      <c r="B52" s="86">
        <f>'I. Фін результат'!B95</f>
        <v>1100</v>
      </c>
      <c r="C52" s="179">
        <f>'I. Фін результат'!C95</f>
        <v>6194.8000000000029</v>
      </c>
      <c r="D52" s="180">
        <f>'I. Фін результат'!D95</f>
        <v>2628.9999999999854</v>
      </c>
      <c r="E52" s="180">
        <f>'I. Фін результат'!E95</f>
        <v>1026.860000000037</v>
      </c>
      <c r="F52" s="180">
        <f>'I. Фін результат'!F95</f>
        <v>853.45000000004075</v>
      </c>
    </row>
    <row r="53" spans="1:6" ht="40.5" customHeight="1">
      <c r="A53" s="60" t="s">
        <v>104</v>
      </c>
      <c r="B53" s="86">
        <f>'I. Фін результат'!B117</f>
        <v>1310</v>
      </c>
      <c r="C53" s="179">
        <f>'I. Фін результат'!C117</f>
        <v>0</v>
      </c>
      <c r="D53" s="180">
        <f>'I. Фін результат'!D117</f>
        <v>0</v>
      </c>
      <c r="E53" s="180">
        <f>'I. Фін результат'!E117</f>
        <v>0</v>
      </c>
      <c r="F53" s="180">
        <f>'I. Фін результат'!F117</f>
        <v>0</v>
      </c>
    </row>
    <row r="54" spans="1:6" ht="26.25" customHeight="1">
      <c r="A54" s="68" t="s">
        <v>155</v>
      </c>
      <c r="B54" s="86">
        <f>'I. Фін результат'!B118</f>
        <v>1320</v>
      </c>
      <c r="C54" s="179">
        <f>'I. Фін результат'!C118</f>
        <v>1129.1000000000001</v>
      </c>
      <c r="D54" s="180">
        <f>'I. Фін результат'!D118</f>
        <v>1209.2</v>
      </c>
      <c r="E54" s="180">
        <f>'I. Фін результат'!E118</f>
        <v>1272.7</v>
      </c>
      <c r="F54" s="180">
        <f>'I. Фін результат'!F118</f>
        <v>1346.5</v>
      </c>
    </row>
    <row r="55" spans="1:6" ht="27.75" customHeight="1">
      <c r="A55" s="70" t="s">
        <v>74</v>
      </c>
      <c r="B55" s="86">
        <f>'I. Фін результат'!B108</f>
        <v>1170</v>
      </c>
      <c r="C55" s="179">
        <f>'I. Фін результат'!C108</f>
        <v>7323.9000000000033</v>
      </c>
      <c r="D55" s="180">
        <f>'I. Фін результат'!D108</f>
        <v>3838.1999999999853</v>
      </c>
      <c r="E55" s="180">
        <f>'I. Фін результат'!E108</f>
        <v>2299.5600000000368</v>
      </c>
      <c r="F55" s="180">
        <f>'I. Фін результат'!F108</f>
        <v>2199.9500000000407</v>
      </c>
    </row>
    <row r="56" spans="1:6" ht="24.75" customHeight="1">
      <c r="A56" s="10" t="s">
        <v>100</v>
      </c>
      <c r="B56" s="86">
        <f>'I. Фін результат'!B109</f>
        <v>1180</v>
      </c>
      <c r="C56" s="179" t="str">
        <f>'I. Фін результат'!C109</f>
        <v>(    )</v>
      </c>
      <c r="D56" s="180" t="str">
        <f>'I. Фін результат'!D109</f>
        <v>(    )</v>
      </c>
      <c r="E56" s="180" t="str">
        <f>'I. Фін результат'!E109</f>
        <v>(    )</v>
      </c>
      <c r="F56" s="180" t="str">
        <f>'I. Фін результат'!F109</f>
        <v>(    )</v>
      </c>
    </row>
    <row r="57" spans="1:6" ht="27.75" customHeight="1">
      <c r="A57" s="34" t="s">
        <v>152</v>
      </c>
      <c r="B57" s="86">
        <f>'I. Фін результат'!B111</f>
        <v>1200</v>
      </c>
      <c r="C57" s="179">
        <f>'I. Фін результат'!C111</f>
        <v>7323.9000000000033</v>
      </c>
      <c r="D57" s="180">
        <f>'I. Фін результат'!D111</f>
        <v>3838.1999999999853</v>
      </c>
      <c r="E57" s="180">
        <f>'I. Фін результат'!E111</f>
        <v>2299.5600000000368</v>
      </c>
      <c r="F57" s="180">
        <f>'I. Фін результат'!F111</f>
        <v>2199.9500000000189</v>
      </c>
    </row>
    <row r="58" spans="1:6" ht="24.75" customHeight="1">
      <c r="A58" s="60" t="s">
        <v>153</v>
      </c>
      <c r="B58" s="86">
        <f>' V. Коефіцієнти'!B8</f>
        <v>5010</v>
      </c>
      <c r="C58" s="179">
        <f>' V. Коефіцієнти'!D8</f>
        <v>4.1064967527170045E-2</v>
      </c>
      <c r="D58" s="519">
        <f>' V. Коефіцієнти'!E8</f>
        <v>2.0610850580193595E-2</v>
      </c>
      <c r="E58" s="514">
        <f>' V. Коефіцієнти'!F8</f>
        <v>1.3487155425220157E-2</v>
      </c>
      <c r="F58" s="514">
        <f>' V. Коефіцієнти'!G8</f>
        <v>1.2516164709644088E-2</v>
      </c>
    </row>
    <row r="59" spans="1:6" ht="24.75" customHeight="1">
      <c r="A59" s="740" t="s">
        <v>112</v>
      </c>
      <c r="B59" s="740"/>
      <c r="C59" s="740"/>
      <c r="D59" s="740"/>
      <c r="E59" s="740"/>
      <c r="F59" s="740"/>
    </row>
    <row r="60" spans="1:6" ht="33.75" customHeight="1">
      <c r="A60" s="67" t="s">
        <v>168</v>
      </c>
      <c r="B60" s="86">
        <f>'ІІ. Розр. з бюджетом'!B17</f>
        <v>2100</v>
      </c>
      <c r="C60" s="631">
        <f>'ІІ. Розр. з бюджетом'!C17</f>
        <v>0</v>
      </c>
      <c r="D60" s="179">
        <f>'ІІ. Розр. з бюджетом'!D17</f>
        <v>0</v>
      </c>
      <c r="E60" s="179">
        <f>'ІІ. Розр. з бюджетом'!E17</f>
        <v>0</v>
      </c>
      <c r="F60" s="179">
        <f>'ІІ. Розр. з бюджетом'!F17</f>
        <v>0</v>
      </c>
    </row>
    <row r="61" spans="1:6" ht="30.75" customHeight="1">
      <c r="A61" s="38" t="s">
        <v>111</v>
      </c>
      <c r="B61" s="86">
        <f>'ІІ. Розр. з бюджетом'!B18</f>
        <v>2110</v>
      </c>
      <c r="C61" s="631">
        <f>'ІІ. Розр. з бюджетом'!C18</f>
        <v>0</v>
      </c>
      <c r="D61" s="179">
        <f>'ІІ. Розр. з бюджетом'!D18</f>
        <v>0</v>
      </c>
      <c r="E61" s="179">
        <f>'ІІ. Розр. з бюджетом'!E18</f>
        <v>0</v>
      </c>
      <c r="F61" s="179">
        <f>'ІІ. Розр. з бюджетом'!F18</f>
        <v>0</v>
      </c>
    </row>
    <row r="62" spans="1:6" ht="50.25" customHeight="1">
      <c r="A62" s="38" t="s">
        <v>381</v>
      </c>
      <c r="B62" s="98" t="s">
        <v>154</v>
      </c>
      <c r="C62" s="179">
        <f>SUM('ІІ. Розр. з бюджетом'!C19,'ІІ. Розр. з бюджетом'!C20)</f>
        <v>0</v>
      </c>
      <c r="D62" s="179">
        <f>SUM('ІІ. Розр. з бюджетом'!D19,'ІІ. Розр. з бюджетом'!D20)</f>
        <v>4</v>
      </c>
      <c r="E62" s="179">
        <f>SUM('ІІ. Розр. з бюджетом'!E19,'ІІ. Розр. з бюджетом'!E20)</f>
        <v>6.5</v>
      </c>
      <c r="F62" s="179">
        <f>SUM('ІІ. Розр. з бюджетом'!F19,'ІІ. Розр. з бюджетом'!F20)</f>
        <v>6.5</v>
      </c>
    </row>
    <row r="63" spans="1:6" ht="47.25" customHeight="1">
      <c r="A63" s="67" t="s">
        <v>221</v>
      </c>
      <c r="B63" s="86">
        <f>'ІІ. Розр. з бюджетом'!B21</f>
        <v>2140</v>
      </c>
      <c r="C63" s="179">
        <f>'ІІ. Розр. з бюджетом'!C21</f>
        <v>27658.899999999998</v>
      </c>
      <c r="D63" s="179">
        <f>'ІІ. Розр. з бюджетом'!D21</f>
        <v>33030.200000000004</v>
      </c>
      <c r="E63" s="179">
        <f>'ІІ. Розр. з бюджетом'!E21</f>
        <v>29886.400000000001</v>
      </c>
      <c r="F63" s="179">
        <f>'ІІ. Розр. з бюджетом'!F21</f>
        <v>30520.0795</v>
      </c>
    </row>
    <row r="64" spans="1:6" ht="44.25" customHeight="1">
      <c r="A64" s="67" t="s">
        <v>65</v>
      </c>
      <c r="B64" s="86">
        <f>'ІІ. Розр. з бюджетом'!B33</f>
        <v>2150</v>
      </c>
      <c r="C64" s="179">
        <f>'ІІ. Розр. з бюджетом'!C33</f>
        <v>28023.5</v>
      </c>
      <c r="D64" s="179">
        <f>'ІІ. Розр. з бюджетом'!D33</f>
        <v>29565.5</v>
      </c>
      <c r="E64" s="179">
        <f>'ІІ. Розр. з бюджетом'!E33</f>
        <v>26077.8</v>
      </c>
      <c r="F64" s="179">
        <f>'ІІ. Розр. з бюджетом'!F33</f>
        <v>27276.100000000002</v>
      </c>
    </row>
    <row r="65" spans="1:10" ht="32.25" customHeight="1">
      <c r="A65" s="66" t="s">
        <v>169</v>
      </c>
      <c r="B65" s="86">
        <f>'ІІ. Розр. з бюджетом'!B34</f>
        <v>2200</v>
      </c>
      <c r="C65" s="179">
        <f>'ІІ. Розр. з бюджетом'!C34</f>
        <v>55682.399999999994</v>
      </c>
      <c r="D65" s="179">
        <f>'ІІ. Розр. з бюджетом'!D34</f>
        <v>62599.700000000004</v>
      </c>
      <c r="E65" s="179">
        <f>'ІІ. Розр. з бюджетом'!E34</f>
        <v>55970.7</v>
      </c>
      <c r="F65" s="179">
        <f>'ІІ. Розр. з бюджетом'!F34</f>
        <v>57802.679499999998</v>
      </c>
    </row>
    <row r="66" spans="1:10" ht="26.25" customHeight="1">
      <c r="A66" s="742" t="s">
        <v>110</v>
      </c>
      <c r="B66" s="742"/>
      <c r="C66" s="742"/>
      <c r="D66" s="742"/>
      <c r="E66" s="742"/>
      <c r="F66" s="742"/>
      <c r="G66" s="5"/>
      <c r="H66" s="5"/>
      <c r="I66" s="5"/>
      <c r="J66" s="5"/>
    </row>
    <row r="67" spans="1:10" ht="28.5" customHeight="1">
      <c r="A67" s="8" t="s">
        <v>234</v>
      </c>
      <c r="B67" s="96">
        <v>3600</v>
      </c>
      <c r="C67" s="179">
        <v>61227.1</v>
      </c>
      <c r="D67" s="179">
        <f>'ІІІ. Рух грош. коштів'!E80</f>
        <v>26600.799999999999</v>
      </c>
      <c r="E67" s="179">
        <f>'ІІІ. Рух грош. коштів'!E80</f>
        <v>26600.799999999999</v>
      </c>
      <c r="F67" s="179">
        <f>'ІІІ. Рух грош. коштів'!G80</f>
        <v>10650.200000000008</v>
      </c>
    </row>
    <row r="68" spans="1:10" ht="24.75" customHeight="1">
      <c r="A68" s="8" t="s">
        <v>356</v>
      </c>
      <c r="B68" s="96">
        <v>3620</v>
      </c>
      <c r="C68" s="179">
        <v>53779.5</v>
      </c>
      <c r="D68" s="179">
        <f>'ІІІ. Рух грош. коштів'!D82</f>
        <v>891.29999999998836</v>
      </c>
      <c r="E68" s="179">
        <f>'ІІІ. Рух грош. коштів'!E82</f>
        <v>10650.200000000008</v>
      </c>
      <c r="F68" s="179">
        <f>'ІІІ. Рух грош. коштів'!J82</f>
        <v>3868.0500000000211</v>
      </c>
    </row>
    <row r="69" spans="1:10" ht="25.5" customHeight="1">
      <c r="A69" s="9" t="s">
        <v>26</v>
      </c>
      <c r="B69" s="96">
        <v>3630</v>
      </c>
      <c r="C69" s="179">
        <f>'ІІІ. Рух грош. коштів'!C83</f>
        <v>-7447.6000000000458</v>
      </c>
      <c r="D69" s="179">
        <f>'ІІІ. Рух грош. коштів'!D83</f>
        <v>-25709.500000000011</v>
      </c>
      <c r="E69" s="179">
        <f>'ІІІ. Рух грош. коштів'!E83</f>
        <v>-15950.599999999995</v>
      </c>
      <c r="F69" s="179">
        <f>'ІІІ. Рух грош. коштів'!F83</f>
        <v>-6782.1499999999869</v>
      </c>
    </row>
    <row r="70" spans="1:10" ht="21.75" customHeight="1">
      <c r="A70" s="729" t="s">
        <v>145</v>
      </c>
      <c r="B70" s="730"/>
      <c r="C70" s="730"/>
      <c r="D70" s="730"/>
      <c r="E70" s="730"/>
      <c r="F70" s="730"/>
    </row>
    <row r="71" spans="1:10" ht="25.5" customHeight="1">
      <c r="A71" s="67" t="s">
        <v>144</v>
      </c>
      <c r="B71" s="6">
        <f>'IV. Кап. інвестиції'!B6</f>
        <v>4000</v>
      </c>
      <c r="C71" s="179">
        <f>'IV. Кап. інвестиції'!C6</f>
        <v>10851.699999999999</v>
      </c>
      <c r="D71" s="179">
        <f>'IV. Кап. інвестиції'!D6</f>
        <v>16063.9</v>
      </c>
      <c r="E71" s="179">
        <f>'IV. Кап. інвестиції'!E6</f>
        <v>33679.1</v>
      </c>
      <c r="F71" s="179">
        <f>'IV. Кап. інвестиції'!F6</f>
        <v>10275.5</v>
      </c>
    </row>
    <row r="72" spans="1:10" ht="23.25" customHeight="1">
      <c r="A72" s="741" t="s">
        <v>148</v>
      </c>
      <c r="B72" s="741"/>
      <c r="C72" s="741"/>
      <c r="D72" s="741"/>
      <c r="E72" s="741"/>
      <c r="F72" s="741"/>
      <c r="G72" s="114"/>
      <c r="H72" s="114"/>
    </row>
    <row r="73" spans="1:10" ht="24.75" customHeight="1">
      <c r="A73" s="129" t="s">
        <v>249</v>
      </c>
      <c r="B73" s="86">
        <v>5000</v>
      </c>
      <c r="C73" s="178">
        <f>' V. Коефіцієнти'!D7</f>
        <v>5.7901477598842614E-2</v>
      </c>
      <c r="D73" s="223">
        <f>' V. Коефіцієнти'!E7</f>
        <v>2.9294540569832203E-2</v>
      </c>
      <c r="E73" s="223">
        <f>' V. Коефіцієнти'!F7</f>
        <v>1.5841990685883028E-2</v>
      </c>
      <c r="F73" s="223">
        <f>' V. Коефіцієнти'!G7</f>
        <v>1.5341181688349498E-2</v>
      </c>
    </row>
    <row r="74" spans="1:10" ht="24.75" customHeight="1">
      <c r="A74" s="130" t="s">
        <v>250</v>
      </c>
      <c r="B74" s="86">
        <v>5100</v>
      </c>
      <c r="C74" s="178">
        <f>' V. Коефіцієнти'!D10</f>
        <v>6.8716161553301385</v>
      </c>
      <c r="D74" s="178">
        <f>' V. Коефіцієнти'!E10</f>
        <v>5.9490572542363891</v>
      </c>
      <c r="E74" s="178">
        <f>' V. Коефіцієнти'!F10</f>
        <v>5.226664378860673</v>
      </c>
      <c r="F74" s="178">
        <f>' V. Коефіцієнти'!G10</f>
        <v>3.9332980139740807</v>
      </c>
    </row>
    <row r="75" spans="1:10" ht="24.75" customHeight="1">
      <c r="A75" s="130" t="s">
        <v>355</v>
      </c>
      <c r="B75" s="86">
        <v>5120</v>
      </c>
      <c r="C75" s="178">
        <f>' V. Коефіцієнти'!D12</f>
        <v>3.3925183512677068</v>
      </c>
      <c r="D75" s="178">
        <f>' V. Коефіцієнти'!E12</f>
        <v>3.8004551020408162</v>
      </c>
      <c r="E75" s="178">
        <f>' V. Коефіцієнти'!F12</f>
        <v>2.8010974387619312</v>
      </c>
      <c r="F75" s="178">
        <f>' V. Коефіцієнти'!G12</f>
        <v>2.7995912951928608</v>
      </c>
    </row>
    <row r="76" spans="1:10" ht="24.75" customHeight="1">
      <c r="A76" s="130"/>
      <c r="B76" s="86"/>
      <c r="C76" s="178"/>
      <c r="D76" s="178"/>
      <c r="E76" s="178"/>
      <c r="F76" s="178"/>
    </row>
    <row r="77" spans="1:10" ht="24.75" customHeight="1">
      <c r="A77" s="740" t="s">
        <v>147</v>
      </c>
      <c r="B77" s="740"/>
      <c r="C77" s="740"/>
      <c r="D77" s="740"/>
      <c r="E77" s="740"/>
      <c r="F77" s="740"/>
    </row>
    <row r="78" spans="1:10" ht="27.75" customHeight="1">
      <c r="A78" s="67" t="s">
        <v>105</v>
      </c>
      <c r="B78" s="86">
        <v>6000</v>
      </c>
      <c r="C78" s="178">
        <v>52571.3</v>
      </c>
      <c r="D78" s="183">
        <v>49000</v>
      </c>
      <c r="E78" s="183">
        <v>60869</v>
      </c>
      <c r="F78" s="183">
        <v>62783.7</v>
      </c>
      <c r="G78" s="311"/>
    </row>
    <row r="79" spans="1:10" ht="26.25" customHeight="1">
      <c r="A79" s="67" t="s">
        <v>106</v>
      </c>
      <c r="B79" s="86">
        <v>6010</v>
      </c>
      <c r="C79" s="178">
        <v>73917.7</v>
      </c>
      <c r="D79" s="183">
        <v>82021</v>
      </c>
      <c r="E79" s="183">
        <v>84287</v>
      </c>
      <c r="F79" s="183">
        <v>80617.899999999994</v>
      </c>
      <c r="G79" s="177"/>
    </row>
    <row r="80" spans="1:10" ht="24.75" customHeight="1">
      <c r="A80" s="67" t="s">
        <v>170</v>
      </c>
      <c r="B80" s="86">
        <v>6020</v>
      </c>
      <c r="C80" s="178">
        <f>'ІІІ. Рух грош. коштів'!C82</f>
        <v>53779.499999999956</v>
      </c>
      <c r="D80" s="183">
        <f>'ІІІ. Рух грош. коштів'!D82</f>
        <v>891.29999999998836</v>
      </c>
      <c r="E80" s="183">
        <f>'ІІІ. Рух грош. коштів'!E82</f>
        <v>10650.200000000008</v>
      </c>
      <c r="F80" s="207">
        <f>'ІІІ. Рух грош. коштів'!J82</f>
        <v>3868.0500000000211</v>
      </c>
    </row>
    <row r="81" spans="1:7" s="5" customFormat="1" ht="24.75" customHeight="1">
      <c r="A81" s="66" t="s">
        <v>174</v>
      </c>
      <c r="B81" s="86">
        <v>6030</v>
      </c>
      <c r="C81" s="183">
        <f>C78+C79</f>
        <v>126489</v>
      </c>
      <c r="D81" s="183">
        <f>D78+D79</f>
        <v>131021</v>
      </c>
      <c r="E81" s="183">
        <f>E78+E79</f>
        <v>145156</v>
      </c>
      <c r="F81" s="183">
        <f>F78+F79</f>
        <v>143401.59999999998</v>
      </c>
    </row>
    <row r="82" spans="1:7" ht="24.75" customHeight="1">
      <c r="A82" s="67" t="s">
        <v>114</v>
      </c>
      <c r="B82" s="86">
        <v>6040</v>
      </c>
      <c r="C82" s="178">
        <v>5826.1</v>
      </c>
      <c r="D82" s="183">
        <v>8467.5</v>
      </c>
      <c r="E82" s="183">
        <v>13734</v>
      </c>
      <c r="F82" s="183">
        <v>14074.1</v>
      </c>
    </row>
    <row r="83" spans="1:7" ht="25.5" customHeight="1">
      <c r="A83" s="67" t="s">
        <v>115</v>
      </c>
      <c r="B83" s="86">
        <v>6050</v>
      </c>
      <c r="C83" s="178">
        <v>10242.9</v>
      </c>
      <c r="D83" s="183">
        <v>10387</v>
      </c>
      <c r="E83" s="183">
        <v>9578</v>
      </c>
      <c r="F83" s="183">
        <v>14994</v>
      </c>
    </row>
    <row r="84" spans="1:7" s="5" customFormat="1" ht="24" customHeight="1">
      <c r="A84" s="66" t="s">
        <v>173</v>
      </c>
      <c r="B84" s="86">
        <v>6060</v>
      </c>
      <c r="C84" s="179">
        <f>SUM(C82:C83)</f>
        <v>16069</v>
      </c>
      <c r="D84" s="179">
        <f>D82+D83</f>
        <v>18854.5</v>
      </c>
      <c r="E84" s="179">
        <f>E82+E83</f>
        <v>23312</v>
      </c>
      <c r="F84" s="180">
        <f>SUM(F82:F83)</f>
        <v>29068.1</v>
      </c>
    </row>
    <row r="85" spans="1:7" ht="24" customHeight="1">
      <c r="A85" s="67" t="s">
        <v>171</v>
      </c>
      <c r="B85" s="86">
        <v>6070</v>
      </c>
      <c r="C85" s="178"/>
      <c r="D85" s="183">
        <v>0</v>
      </c>
      <c r="E85" s="183">
        <v>0</v>
      </c>
      <c r="F85" s="183">
        <v>0</v>
      </c>
    </row>
    <row r="86" spans="1:7" ht="24" customHeight="1">
      <c r="A86" s="67" t="s">
        <v>172</v>
      </c>
      <c r="B86" s="86">
        <v>6080</v>
      </c>
      <c r="C86" s="178"/>
      <c r="D86" s="183">
        <v>0</v>
      </c>
      <c r="E86" s="183">
        <v>0</v>
      </c>
      <c r="F86" s="183">
        <v>0</v>
      </c>
    </row>
    <row r="87" spans="1:7" s="5" customFormat="1" ht="27.75" customHeight="1">
      <c r="A87" s="66" t="s">
        <v>107</v>
      </c>
      <c r="B87" s="86">
        <v>6090</v>
      </c>
      <c r="C87" s="183">
        <f>C81-C84</f>
        <v>110420</v>
      </c>
      <c r="D87" s="183">
        <f>D81-D84</f>
        <v>112166.5</v>
      </c>
      <c r="E87" s="183">
        <f>E81-E84</f>
        <v>121844</v>
      </c>
      <c r="F87" s="183">
        <f>F81-F84</f>
        <v>114333.49999999997</v>
      </c>
    </row>
    <row r="88" spans="1:7" ht="9.75" customHeight="1">
      <c r="A88" s="23"/>
      <c r="C88" s="621"/>
      <c r="D88" s="24"/>
      <c r="E88" s="24"/>
      <c r="F88" s="24"/>
    </row>
    <row r="89" spans="1:7" ht="39" customHeight="1">
      <c r="A89" s="238" t="s">
        <v>759</v>
      </c>
      <c r="B89" s="145"/>
      <c r="C89" s="725" t="s">
        <v>747</v>
      </c>
      <c r="D89" s="726"/>
      <c r="E89" s="726"/>
      <c r="F89" s="726"/>
      <c r="G89" s="211"/>
    </row>
    <row r="90" spans="1:7" ht="12.75" customHeight="1">
      <c r="A90" s="85" t="s">
        <v>59</v>
      </c>
      <c r="B90" s="2"/>
      <c r="C90" s="731" t="s">
        <v>60</v>
      </c>
      <c r="D90" s="731"/>
      <c r="E90" s="731"/>
      <c r="F90" s="731"/>
    </row>
    <row r="92" spans="1:7">
      <c r="A92" s="43"/>
    </row>
    <row r="93" spans="1:7">
      <c r="A93" s="43"/>
    </row>
    <row r="94" spans="1:7">
      <c r="A94" s="43"/>
    </row>
    <row r="95" spans="1:7" s="4" customFormat="1">
      <c r="A95" s="43"/>
      <c r="F95" s="2"/>
    </row>
    <row r="96" spans="1:7" s="4" customFormat="1">
      <c r="A96" s="43"/>
      <c r="F96" s="2"/>
    </row>
    <row r="97" spans="1:6" s="4" customFormat="1">
      <c r="A97" s="43"/>
      <c r="F97" s="2"/>
    </row>
    <row r="98" spans="1:6" s="4" customFormat="1">
      <c r="A98" s="43"/>
      <c r="F98" s="2"/>
    </row>
    <row r="99" spans="1:6" s="4" customFormat="1">
      <c r="A99" s="43"/>
      <c r="F99" s="2"/>
    </row>
    <row r="100" spans="1:6" s="4" customFormat="1">
      <c r="A100" s="43"/>
      <c r="F100" s="2"/>
    </row>
    <row r="101" spans="1:6" s="4" customFormat="1">
      <c r="A101" s="43"/>
      <c r="F101" s="2"/>
    </row>
    <row r="102" spans="1:6" s="4" customFormat="1">
      <c r="A102" s="43"/>
      <c r="F102" s="2"/>
    </row>
    <row r="103" spans="1:6" s="4" customFormat="1">
      <c r="A103" s="43"/>
      <c r="F103" s="2"/>
    </row>
    <row r="104" spans="1:6" s="4" customFormat="1">
      <c r="A104" s="43"/>
      <c r="F104" s="2"/>
    </row>
    <row r="105" spans="1:6" s="4" customFormat="1">
      <c r="A105" s="43"/>
      <c r="F105" s="2"/>
    </row>
    <row r="106" spans="1:6" s="4" customFormat="1">
      <c r="A106" s="43"/>
      <c r="F106" s="2"/>
    </row>
    <row r="107" spans="1:6" s="4" customFormat="1">
      <c r="A107" s="43"/>
      <c r="F107" s="2"/>
    </row>
    <row r="108" spans="1:6" s="4" customFormat="1">
      <c r="A108" s="43"/>
      <c r="F108" s="2"/>
    </row>
    <row r="109" spans="1:6" s="4" customFormat="1">
      <c r="A109" s="43"/>
      <c r="F109" s="2"/>
    </row>
    <row r="110" spans="1:6" s="4" customFormat="1">
      <c r="A110" s="43"/>
      <c r="F110" s="2"/>
    </row>
    <row r="111" spans="1:6" s="4" customFormat="1">
      <c r="A111" s="43"/>
      <c r="F111" s="2"/>
    </row>
    <row r="112" spans="1:6" s="4" customFormat="1">
      <c r="A112" s="43"/>
      <c r="F112" s="2"/>
    </row>
    <row r="113" spans="1:6" s="4" customFormat="1">
      <c r="A113" s="43"/>
      <c r="F113" s="2"/>
    </row>
    <row r="114" spans="1:6" s="4" customFormat="1">
      <c r="A114" s="43"/>
      <c r="F114" s="2"/>
    </row>
    <row r="115" spans="1:6" s="4" customFormat="1">
      <c r="A115" s="43"/>
      <c r="F115" s="2"/>
    </row>
    <row r="116" spans="1:6" s="4" customFormat="1">
      <c r="A116" s="43"/>
      <c r="F116" s="2"/>
    </row>
    <row r="117" spans="1:6" s="4" customFormat="1">
      <c r="A117" s="43"/>
      <c r="F117" s="2"/>
    </row>
    <row r="118" spans="1:6" s="4" customFormat="1">
      <c r="A118" s="43"/>
      <c r="F118" s="2"/>
    </row>
    <row r="119" spans="1:6" s="4" customFormat="1">
      <c r="A119" s="43"/>
      <c r="F119" s="2"/>
    </row>
    <row r="120" spans="1:6" s="4" customFormat="1">
      <c r="A120" s="43"/>
      <c r="F120" s="2"/>
    </row>
    <row r="121" spans="1:6" s="4" customFormat="1">
      <c r="A121" s="43"/>
      <c r="F121" s="2"/>
    </row>
    <row r="122" spans="1:6" s="4" customFormat="1">
      <c r="A122" s="43"/>
      <c r="F122" s="2"/>
    </row>
    <row r="123" spans="1:6" s="4" customFormat="1">
      <c r="A123" s="43"/>
      <c r="F123" s="2"/>
    </row>
    <row r="124" spans="1:6" s="4" customFormat="1">
      <c r="A124" s="43"/>
      <c r="F124" s="2"/>
    </row>
    <row r="125" spans="1:6" s="4" customFormat="1">
      <c r="A125" s="43"/>
      <c r="F125" s="2"/>
    </row>
    <row r="126" spans="1:6" s="4" customFormat="1">
      <c r="A126" s="43"/>
      <c r="F126" s="2"/>
    </row>
    <row r="127" spans="1:6" s="4" customFormat="1">
      <c r="A127" s="43"/>
      <c r="F127" s="2"/>
    </row>
    <row r="128" spans="1:6" s="4" customFormat="1">
      <c r="A128" s="43"/>
      <c r="F128" s="2"/>
    </row>
    <row r="129" spans="1:6" s="4" customFormat="1">
      <c r="A129" s="43"/>
      <c r="F129" s="2"/>
    </row>
    <row r="130" spans="1:6" s="4" customFormat="1">
      <c r="A130" s="43"/>
      <c r="F130" s="2"/>
    </row>
    <row r="131" spans="1:6" s="4" customFormat="1">
      <c r="A131" s="43"/>
      <c r="F131" s="2"/>
    </row>
    <row r="132" spans="1:6" s="4" customFormat="1">
      <c r="A132" s="43"/>
      <c r="F132" s="2"/>
    </row>
    <row r="133" spans="1:6" s="4" customFormat="1">
      <c r="A133" s="43"/>
      <c r="F133" s="2"/>
    </row>
    <row r="134" spans="1:6" s="4" customFormat="1">
      <c r="A134" s="43"/>
      <c r="F134" s="2"/>
    </row>
    <row r="135" spans="1:6" s="4" customFormat="1">
      <c r="A135" s="43"/>
      <c r="F135" s="2"/>
    </row>
    <row r="136" spans="1:6" s="4" customFormat="1">
      <c r="A136" s="43"/>
      <c r="F136" s="2"/>
    </row>
    <row r="137" spans="1:6" s="4" customFormat="1">
      <c r="A137" s="43"/>
      <c r="F137" s="2"/>
    </row>
    <row r="138" spans="1:6" s="4" customFormat="1">
      <c r="A138" s="43"/>
      <c r="F138" s="2"/>
    </row>
    <row r="139" spans="1:6" s="4" customFormat="1">
      <c r="A139" s="43"/>
      <c r="F139" s="2"/>
    </row>
    <row r="140" spans="1:6" s="4" customFormat="1">
      <c r="A140" s="43"/>
      <c r="F140" s="2"/>
    </row>
    <row r="141" spans="1:6" s="4" customFormat="1">
      <c r="A141" s="43"/>
      <c r="F141" s="2"/>
    </row>
    <row r="142" spans="1:6" s="4" customFormat="1">
      <c r="A142" s="43"/>
      <c r="F142" s="2"/>
    </row>
    <row r="143" spans="1:6" s="4" customFormat="1">
      <c r="A143" s="43"/>
      <c r="F143" s="2"/>
    </row>
    <row r="144" spans="1:6" s="4" customFormat="1">
      <c r="A144" s="43"/>
      <c r="F144" s="2"/>
    </row>
    <row r="145" spans="1:6" s="4" customFormat="1">
      <c r="A145" s="43"/>
      <c r="F145" s="2"/>
    </row>
    <row r="146" spans="1:6" s="4" customFormat="1">
      <c r="A146" s="43"/>
      <c r="F146" s="2"/>
    </row>
    <row r="147" spans="1:6" s="4" customFormat="1">
      <c r="A147" s="43"/>
      <c r="F147" s="2"/>
    </row>
    <row r="148" spans="1:6" s="4" customFormat="1">
      <c r="A148" s="43"/>
      <c r="F148" s="2"/>
    </row>
    <row r="149" spans="1:6" s="4" customFormat="1">
      <c r="A149" s="43"/>
      <c r="F149" s="2"/>
    </row>
    <row r="150" spans="1:6" s="4" customFormat="1">
      <c r="A150" s="43"/>
      <c r="F150" s="2"/>
    </row>
    <row r="151" spans="1:6" s="4" customFormat="1">
      <c r="A151" s="43"/>
      <c r="F151" s="2"/>
    </row>
    <row r="152" spans="1:6" s="4" customFormat="1">
      <c r="A152" s="43"/>
      <c r="F152" s="2"/>
    </row>
    <row r="153" spans="1:6" s="4" customFormat="1">
      <c r="A153" s="43"/>
      <c r="F153" s="2"/>
    </row>
    <row r="154" spans="1:6" s="4" customFormat="1">
      <c r="A154" s="43"/>
      <c r="F154" s="2"/>
    </row>
    <row r="155" spans="1:6" s="4" customFormat="1">
      <c r="A155" s="43"/>
      <c r="F155" s="2"/>
    </row>
    <row r="156" spans="1:6" s="4" customFormat="1">
      <c r="A156" s="43"/>
      <c r="F156" s="2"/>
    </row>
    <row r="157" spans="1:6" s="4" customFormat="1">
      <c r="A157" s="43"/>
      <c r="F157" s="2"/>
    </row>
    <row r="158" spans="1:6" s="4" customFormat="1">
      <c r="A158" s="43"/>
      <c r="F158" s="2"/>
    </row>
    <row r="159" spans="1:6" s="4" customFormat="1">
      <c r="A159" s="43"/>
      <c r="F159" s="2"/>
    </row>
    <row r="160" spans="1:6" s="4" customFormat="1">
      <c r="A160" s="43"/>
      <c r="F160" s="2"/>
    </row>
    <row r="161" spans="1:6" s="4" customFormat="1">
      <c r="A161" s="43"/>
      <c r="F161" s="2"/>
    </row>
    <row r="162" spans="1:6" s="4" customFormat="1">
      <c r="A162" s="43"/>
      <c r="F162" s="2"/>
    </row>
    <row r="163" spans="1:6" s="4" customFormat="1">
      <c r="A163" s="43"/>
      <c r="F163" s="2"/>
    </row>
    <row r="164" spans="1:6" s="4" customFormat="1">
      <c r="A164" s="43"/>
      <c r="F164" s="2"/>
    </row>
    <row r="165" spans="1:6" s="4" customFormat="1">
      <c r="A165" s="43"/>
      <c r="F165" s="2"/>
    </row>
    <row r="166" spans="1:6" s="4" customFormat="1">
      <c r="A166" s="43"/>
      <c r="F166" s="2"/>
    </row>
    <row r="167" spans="1:6" s="4" customFormat="1">
      <c r="A167" s="43"/>
      <c r="F167" s="2"/>
    </row>
    <row r="168" spans="1:6" s="4" customFormat="1">
      <c r="A168" s="43"/>
      <c r="F168" s="2"/>
    </row>
    <row r="169" spans="1:6" s="4" customFormat="1">
      <c r="A169" s="43"/>
      <c r="F169" s="2"/>
    </row>
    <row r="170" spans="1:6" s="4" customFormat="1">
      <c r="A170" s="43"/>
      <c r="F170" s="2"/>
    </row>
    <row r="171" spans="1:6" s="4" customFormat="1">
      <c r="A171" s="43"/>
      <c r="F171" s="2"/>
    </row>
    <row r="172" spans="1:6" s="4" customFormat="1">
      <c r="A172" s="43"/>
      <c r="F172" s="2"/>
    </row>
    <row r="173" spans="1:6" s="4" customFormat="1">
      <c r="A173" s="43"/>
      <c r="F173" s="2"/>
    </row>
    <row r="174" spans="1:6" s="4" customFormat="1">
      <c r="A174" s="43"/>
      <c r="F174" s="2"/>
    </row>
    <row r="175" spans="1:6" s="4" customFormat="1">
      <c r="A175" s="43"/>
      <c r="F175" s="2"/>
    </row>
    <row r="176" spans="1:6" s="4" customFormat="1">
      <c r="A176" s="43"/>
      <c r="F176" s="2"/>
    </row>
    <row r="177" spans="1:6" s="4" customFormat="1">
      <c r="A177" s="43"/>
      <c r="F177" s="2"/>
    </row>
    <row r="178" spans="1:6" s="4" customFormat="1">
      <c r="A178" s="43"/>
      <c r="F178" s="2"/>
    </row>
    <row r="179" spans="1:6" s="4" customFormat="1">
      <c r="A179" s="43"/>
      <c r="F179" s="2"/>
    </row>
    <row r="180" spans="1:6" s="4" customFormat="1">
      <c r="A180" s="43"/>
      <c r="F180" s="2"/>
    </row>
    <row r="181" spans="1:6" s="4" customFormat="1">
      <c r="A181" s="43"/>
      <c r="F181" s="2"/>
    </row>
    <row r="182" spans="1:6" s="4" customFormat="1">
      <c r="A182" s="43"/>
      <c r="F182" s="2"/>
    </row>
    <row r="183" spans="1:6" s="4" customFormat="1">
      <c r="A183" s="43"/>
      <c r="F183" s="2"/>
    </row>
    <row r="184" spans="1:6" s="4" customFormat="1">
      <c r="A184" s="43"/>
      <c r="F184" s="2"/>
    </row>
    <row r="185" spans="1:6" s="4" customFormat="1">
      <c r="A185" s="43"/>
      <c r="F185" s="2"/>
    </row>
    <row r="186" spans="1:6" s="4" customFormat="1">
      <c r="A186" s="43"/>
      <c r="F186" s="2"/>
    </row>
    <row r="187" spans="1:6" s="4" customFormat="1">
      <c r="A187" s="43"/>
      <c r="F187" s="2"/>
    </row>
    <row r="188" spans="1:6" s="4" customFormat="1">
      <c r="A188" s="43"/>
      <c r="F188" s="2"/>
    </row>
    <row r="189" spans="1:6" s="4" customFormat="1">
      <c r="A189" s="43"/>
      <c r="F189" s="2"/>
    </row>
    <row r="190" spans="1:6" s="4" customFormat="1">
      <c r="A190" s="43"/>
      <c r="F190" s="2"/>
    </row>
    <row r="191" spans="1:6" s="4" customFormat="1">
      <c r="A191" s="43"/>
      <c r="F191" s="2"/>
    </row>
    <row r="192" spans="1:6" s="4" customFormat="1">
      <c r="A192" s="43"/>
      <c r="F192" s="2"/>
    </row>
    <row r="193" spans="1:6" s="4" customFormat="1">
      <c r="A193" s="43"/>
      <c r="F193" s="2"/>
    </row>
    <row r="194" spans="1:6" s="4" customFormat="1">
      <c r="A194" s="43"/>
      <c r="F194" s="2"/>
    </row>
    <row r="195" spans="1:6" s="4" customFormat="1">
      <c r="A195" s="43"/>
      <c r="F195" s="2"/>
    </row>
    <row r="196" spans="1:6" s="4" customFormat="1">
      <c r="A196" s="43"/>
      <c r="F196" s="2"/>
    </row>
    <row r="197" spans="1:6" s="4" customFormat="1">
      <c r="A197" s="43"/>
      <c r="F197" s="2"/>
    </row>
    <row r="198" spans="1:6" s="4" customFormat="1">
      <c r="A198" s="43"/>
      <c r="F198" s="2"/>
    </row>
    <row r="199" spans="1:6" s="4" customFormat="1">
      <c r="A199" s="43"/>
      <c r="F199" s="2"/>
    </row>
    <row r="200" spans="1:6" s="4" customFormat="1">
      <c r="A200" s="43"/>
      <c r="F200" s="2"/>
    </row>
    <row r="201" spans="1:6" s="4" customFormat="1">
      <c r="A201" s="43"/>
      <c r="F201" s="2"/>
    </row>
    <row r="202" spans="1:6" s="4" customFormat="1">
      <c r="A202" s="43"/>
      <c r="F202" s="2"/>
    </row>
    <row r="203" spans="1:6" s="4" customFormat="1">
      <c r="A203" s="43"/>
      <c r="F203" s="2"/>
    </row>
    <row r="204" spans="1:6" s="4" customFormat="1">
      <c r="A204" s="43"/>
      <c r="F204" s="2"/>
    </row>
    <row r="205" spans="1:6" s="4" customFormat="1">
      <c r="A205" s="43"/>
      <c r="F205" s="2"/>
    </row>
    <row r="206" spans="1:6" s="4" customFormat="1">
      <c r="A206" s="43"/>
      <c r="F206" s="2"/>
    </row>
    <row r="207" spans="1:6" s="4" customFormat="1">
      <c r="A207" s="43"/>
      <c r="F207" s="2"/>
    </row>
    <row r="208" spans="1:6" s="4" customFormat="1">
      <c r="A208" s="43"/>
      <c r="F208" s="2"/>
    </row>
    <row r="209" spans="1:6" s="4" customFormat="1">
      <c r="A209" s="43"/>
      <c r="F209" s="2"/>
    </row>
    <row r="210" spans="1:6" s="4" customFormat="1">
      <c r="A210" s="43"/>
      <c r="F210" s="2"/>
    </row>
    <row r="211" spans="1:6" s="4" customFormat="1">
      <c r="A211" s="43"/>
      <c r="F211" s="2"/>
    </row>
    <row r="212" spans="1:6" s="4" customFormat="1">
      <c r="A212" s="43"/>
      <c r="F212" s="2"/>
    </row>
    <row r="213" spans="1:6" s="4" customFormat="1">
      <c r="A213" s="43"/>
      <c r="F213" s="2"/>
    </row>
    <row r="214" spans="1:6" s="4" customFormat="1">
      <c r="A214" s="43"/>
      <c r="F214" s="2"/>
    </row>
    <row r="215" spans="1:6" s="4" customFormat="1">
      <c r="A215" s="43"/>
      <c r="F215" s="2"/>
    </row>
    <row r="216" spans="1:6" s="4" customFormat="1">
      <c r="A216" s="43"/>
      <c r="F216" s="2"/>
    </row>
    <row r="217" spans="1:6" s="4" customFormat="1">
      <c r="A217" s="43"/>
      <c r="F217" s="2"/>
    </row>
    <row r="218" spans="1:6" s="4" customFormat="1">
      <c r="A218" s="43"/>
      <c r="F218" s="2"/>
    </row>
    <row r="219" spans="1:6" s="4" customFormat="1">
      <c r="A219" s="43"/>
      <c r="F219" s="2"/>
    </row>
    <row r="220" spans="1:6" s="4" customFormat="1">
      <c r="A220" s="43"/>
      <c r="F220" s="2"/>
    </row>
    <row r="221" spans="1:6" s="4" customFormat="1">
      <c r="A221" s="43"/>
      <c r="F221" s="2"/>
    </row>
    <row r="222" spans="1:6" s="4" customFormat="1">
      <c r="A222" s="43"/>
      <c r="F222" s="2"/>
    </row>
    <row r="223" spans="1:6" s="4" customFormat="1">
      <c r="A223" s="43"/>
      <c r="F223" s="2"/>
    </row>
    <row r="224" spans="1:6" s="4" customFormat="1">
      <c r="A224" s="43"/>
      <c r="F224" s="2"/>
    </row>
    <row r="225" spans="1:6" s="4" customFormat="1">
      <c r="A225" s="43"/>
      <c r="F225" s="2"/>
    </row>
    <row r="226" spans="1:6" s="4" customFormat="1">
      <c r="A226" s="43"/>
      <c r="F226" s="2"/>
    </row>
    <row r="227" spans="1:6" s="4" customFormat="1">
      <c r="A227" s="43"/>
      <c r="F227" s="2"/>
    </row>
    <row r="228" spans="1:6" s="4" customFormat="1">
      <c r="A228" s="43"/>
      <c r="F228" s="2"/>
    </row>
    <row r="229" spans="1:6" s="4" customFormat="1">
      <c r="A229" s="43"/>
      <c r="F229" s="2"/>
    </row>
    <row r="230" spans="1:6" s="4" customFormat="1">
      <c r="A230" s="43"/>
      <c r="F230" s="2"/>
    </row>
    <row r="231" spans="1:6" s="4" customFormat="1">
      <c r="A231" s="43"/>
      <c r="F231" s="2"/>
    </row>
    <row r="232" spans="1:6" s="4" customFormat="1">
      <c r="A232" s="43"/>
      <c r="F232" s="2"/>
    </row>
    <row r="233" spans="1:6" s="4" customFormat="1">
      <c r="A233" s="43"/>
      <c r="F233" s="2"/>
    </row>
    <row r="234" spans="1:6" s="4" customFormat="1">
      <c r="A234" s="43"/>
      <c r="F234" s="2"/>
    </row>
    <row r="235" spans="1:6" s="4" customFormat="1">
      <c r="A235" s="43"/>
      <c r="F235" s="2"/>
    </row>
    <row r="236" spans="1:6" s="4" customFormat="1">
      <c r="A236" s="43"/>
      <c r="F236" s="2"/>
    </row>
    <row r="237" spans="1:6" s="4" customFormat="1">
      <c r="A237" s="43"/>
      <c r="F237" s="2"/>
    </row>
    <row r="238" spans="1:6" s="4" customFormat="1">
      <c r="A238" s="43"/>
      <c r="F238" s="2"/>
    </row>
    <row r="239" spans="1:6" s="4" customFormat="1">
      <c r="A239" s="43"/>
      <c r="F239" s="2"/>
    </row>
    <row r="240" spans="1:6" s="4" customFormat="1">
      <c r="A240" s="43"/>
      <c r="F240" s="2"/>
    </row>
    <row r="241" spans="1:6" s="4" customFormat="1">
      <c r="A241" s="43"/>
      <c r="F241" s="2"/>
    </row>
    <row r="242" spans="1:6" s="4" customFormat="1">
      <c r="A242" s="43"/>
      <c r="F242" s="2"/>
    </row>
    <row r="243" spans="1:6" s="4" customFormat="1">
      <c r="A243" s="43"/>
      <c r="F243" s="2"/>
    </row>
    <row r="244" spans="1:6" s="4" customFormat="1">
      <c r="A244" s="43"/>
      <c r="F244" s="2"/>
    </row>
    <row r="245" spans="1:6" s="4" customFormat="1">
      <c r="A245" s="43"/>
      <c r="F245" s="2"/>
    </row>
    <row r="246" spans="1:6" s="4" customFormat="1">
      <c r="A246" s="43"/>
      <c r="F246" s="2"/>
    </row>
    <row r="247" spans="1:6" s="4" customFormat="1">
      <c r="A247" s="43"/>
      <c r="F247" s="2"/>
    </row>
    <row r="248" spans="1:6" s="4" customFormat="1">
      <c r="A248" s="43"/>
      <c r="F248" s="2"/>
    </row>
    <row r="249" spans="1:6" s="4" customFormat="1">
      <c r="A249" s="43"/>
      <c r="F249" s="2"/>
    </row>
    <row r="250" spans="1:6" s="4" customFormat="1">
      <c r="A250" s="43"/>
      <c r="F250" s="2"/>
    </row>
    <row r="251" spans="1:6" s="4" customFormat="1">
      <c r="A251" s="43"/>
      <c r="F251" s="2"/>
    </row>
    <row r="252" spans="1:6" s="4" customFormat="1">
      <c r="A252" s="43"/>
      <c r="F252" s="2"/>
    </row>
    <row r="253" spans="1:6" s="4" customFormat="1">
      <c r="A253" s="43"/>
      <c r="F253" s="2"/>
    </row>
    <row r="254" spans="1:6" s="4" customFormat="1">
      <c r="A254" s="43"/>
      <c r="F254" s="2"/>
    </row>
    <row r="255" spans="1:6" s="4" customFormat="1">
      <c r="A255" s="43"/>
      <c r="F255" s="2"/>
    </row>
    <row r="256" spans="1:6" s="4" customFormat="1">
      <c r="A256" s="43"/>
      <c r="F256" s="2"/>
    </row>
    <row r="257" spans="1:6" s="4" customFormat="1">
      <c r="A257" s="43"/>
      <c r="F257" s="2"/>
    </row>
    <row r="258" spans="1:6" s="4" customFormat="1">
      <c r="A258" s="43"/>
      <c r="F258" s="2"/>
    </row>
    <row r="259" spans="1:6" s="4" customFormat="1">
      <c r="A259" s="43"/>
      <c r="F259" s="2"/>
    </row>
  </sheetData>
  <mergeCells count="36">
    <mergeCell ref="C89:F89"/>
    <mergeCell ref="A40:F40"/>
    <mergeCell ref="A38:F38"/>
    <mergeCell ref="A70:F70"/>
    <mergeCell ref="C90:F90"/>
    <mergeCell ref="A42:A43"/>
    <mergeCell ref="B42:B43"/>
    <mergeCell ref="F42:F43"/>
    <mergeCell ref="A45:F45"/>
    <mergeCell ref="C42:C43"/>
    <mergeCell ref="A77:F77"/>
    <mergeCell ref="A72:F72"/>
    <mergeCell ref="A66:F66"/>
    <mergeCell ref="A59:F59"/>
    <mergeCell ref="E42:E43"/>
    <mergeCell ref="D42:D43"/>
    <mergeCell ref="D1:F1"/>
    <mergeCell ref="D5:E5"/>
    <mergeCell ref="D7:F7"/>
    <mergeCell ref="C27:E27"/>
    <mergeCell ref="C28:E28"/>
    <mergeCell ref="D6:F6"/>
    <mergeCell ref="D2:F2"/>
    <mergeCell ref="A21:D21"/>
    <mergeCell ref="A14:B14"/>
    <mergeCell ref="A17:B17"/>
    <mergeCell ref="A20:D20"/>
    <mergeCell ref="E29:F29"/>
    <mergeCell ref="D31:F31"/>
    <mergeCell ref="C32:F32"/>
    <mergeCell ref="B22:D22"/>
    <mergeCell ref="B23:D23"/>
    <mergeCell ref="B24:D24"/>
    <mergeCell ref="B25:D25"/>
    <mergeCell ref="B26:D26"/>
    <mergeCell ref="C30:F30"/>
  </mergeCells>
  <phoneticPr fontId="4" type="noConversion"/>
  <pageMargins left="0.78740157480314965" right="0" top="0" bottom="0" header="0.39370078740157483" footer="0.19685039370078741"/>
  <pageSetup paperSize="9" scale="74" orientation="portrait" verticalDpi="300" r:id="rId1"/>
  <headerFooter alignWithMargins="0">
    <oddHeader xml:space="preserve">&amp;C&amp;"Times New Roman,обычный"&amp;14
&amp;R&amp;"Times New Roman,обычный"&amp;14 
</oddHeader>
  </headerFooter>
  <rowBreaks count="1" manualBreakCount="1">
    <brk id="36" max="5"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pageSetUpPr fitToPage="1"/>
  </sheetPr>
  <dimension ref="A1:AR357"/>
  <sheetViews>
    <sheetView view="pageBreakPreview" zoomScale="75" zoomScaleNormal="75" zoomScaleSheetLayoutView="75" workbookViewId="0">
      <pane xSplit="2" ySplit="6" topLeftCell="C7" activePane="bottomRight" state="frozen"/>
      <selection activeCell="F7" sqref="F7"/>
      <selection pane="topRight" activeCell="F7" sqref="F7"/>
      <selection pane="bottomLeft" activeCell="F7" sqref="F7"/>
      <selection pane="bottomRight" activeCell="K145" sqref="K145"/>
    </sheetView>
  </sheetViews>
  <sheetFormatPr defaultColWidth="9.140625" defaultRowHeight="18.75"/>
  <cols>
    <col min="1" max="1" width="56.85546875" style="2" customWidth="1"/>
    <col min="2" max="2" width="7.7109375" style="4" customWidth="1"/>
    <col min="3" max="3" width="13.7109375" style="4" customWidth="1"/>
    <col min="4" max="4" width="14.42578125" style="4" customWidth="1"/>
    <col min="5" max="5" width="14.7109375" style="4" customWidth="1"/>
    <col min="6" max="6" width="17.42578125" style="2" customWidth="1"/>
    <col min="7" max="7" width="15.5703125" style="2" customWidth="1"/>
    <col min="8" max="8" width="15.42578125" style="2" customWidth="1"/>
    <col min="9" max="9" width="15.7109375" style="2" customWidth="1"/>
    <col min="10" max="10" width="14.85546875" style="2" customWidth="1"/>
    <col min="11" max="12" width="24" style="126" customWidth="1"/>
    <col min="13" max="13" width="18.42578125" style="2" customWidth="1"/>
    <col min="14" max="14" width="20.42578125" style="2" customWidth="1"/>
    <col min="15" max="15" width="16.5703125" style="2" customWidth="1"/>
    <col min="16" max="16" width="14.85546875" style="2" customWidth="1"/>
    <col min="17" max="17" width="15" style="2" customWidth="1"/>
    <col min="18" max="18" width="17.85546875" style="2" customWidth="1"/>
    <col min="19" max="20" width="12.42578125" style="2" customWidth="1"/>
    <col min="21" max="21" width="26.28515625" style="2" customWidth="1"/>
    <col min="22" max="22" width="12.140625" style="2" customWidth="1"/>
    <col min="23" max="23" width="9.140625" style="2" customWidth="1"/>
    <col min="24" max="16384" width="9.140625" style="2"/>
  </cols>
  <sheetData>
    <row r="1" spans="1:44" ht="23.25" customHeight="1">
      <c r="A1" s="752" t="s">
        <v>76</v>
      </c>
      <c r="B1" s="752"/>
      <c r="C1" s="752"/>
      <c r="D1" s="752"/>
      <c r="E1" s="752"/>
      <c r="F1" s="752"/>
      <c r="G1" s="752"/>
      <c r="H1" s="752"/>
      <c r="I1" s="752"/>
      <c r="J1" s="752"/>
      <c r="K1" s="752"/>
      <c r="L1" s="612"/>
    </row>
    <row r="2" spans="1:44" ht="13.5" customHeight="1">
      <c r="A2" s="295"/>
      <c r="B2" s="294"/>
      <c r="C2" s="296"/>
      <c r="D2" s="296"/>
      <c r="E2" s="294"/>
      <c r="F2" s="296"/>
      <c r="G2" s="296"/>
      <c r="H2" s="296"/>
      <c r="I2" s="296"/>
      <c r="J2" s="296"/>
      <c r="K2" s="297"/>
    </row>
    <row r="3" spans="1:44" ht="36" customHeight="1">
      <c r="A3" s="732" t="s">
        <v>167</v>
      </c>
      <c r="B3" s="757" t="s">
        <v>14</v>
      </c>
      <c r="C3" s="734" t="s">
        <v>23</v>
      </c>
      <c r="D3" s="734" t="s">
        <v>29</v>
      </c>
      <c r="E3" s="746" t="s">
        <v>113</v>
      </c>
      <c r="F3" s="734" t="s">
        <v>17</v>
      </c>
      <c r="G3" s="734" t="s">
        <v>123</v>
      </c>
      <c r="H3" s="734"/>
      <c r="I3" s="734"/>
      <c r="J3" s="734"/>
      <c r="K3" s="754" t="s">
        <v>156</v>
      </c>
      <c r="L3" s="671"/>
      <c r="M3" s="672"/>
      <c r="N3" s="672"/>
      <c r="O3" s="672"/>
      <c r="P3" s="672"/>
      <c r="Q3" s="672"/>
      <c r="R3" s="672"/>
      <c r="S3" s="672"/>
      <c r="T3" s="672"/>
      <c r="U3" s="672"/>
      <c r="V3" s="672"/>
      <c r="W3" s="672"/>
      <c r="X3" s="672"/>
      <c r="Y3" s="672"/>
      <c r="Z3" s="672"/>
      <c r="AA3" s="672"/>
      <c r="AB3" s="672"/>
      <c r="AC3" s="672"/>
      <c r="AD3" s="672"/>
      <c r="AE3" s="672"/>
      <c r="AF3" s="672"/>
      <c r="AG3" s="672"/>
      <c r="AH3" s="672"/>
      <c r="AI3" s="672"/>
      <c r="AJ3" s="672"/>
      <c r="AK3" s="672"/>
      <c r="AL3" s="672"/>
      <c r="AM3" s="672"/>
      <c r="AN3" s="672"/>
      <c r="AO3" s="672"/>
      <c r="AP3" s="672"/>
      <c r="AQ3" s="672"/>
      <c r="AR3" s="672"/>
    </row>
    <row r="4" spans="1:44" ht="54.75" customHeight="1">
      <c r="A4" s="732"/>
      <c r="B4" s="757"/>
      <c r="C4" s="734"/>
      <c r="D4" s="734"/>
      <c r="E4" s="746"/>
      <c r="F4" s="734"/>
      <c r="G4" s="13" t="s">
        <v>124</v>
      </c>
      <c r="H4" s="13" t="s">
        <v>125</v>
      </c>
      <c r="I4" s="13" t="s">
        <v>126</v>
      </c>
      <c r="J4" s="13" t="s">
        <v>55</v>
      </c>
      <c r="K4" s="754"/>
      <c r="L4" s="671"/>
      <c r="M4" s="672"/>
      <c r="N4" s="672"/>
      <c r="O4" s="672"/>
      <c r="P4" s="672"/>
      <c r="Q4" s="672"/>
      <c r="R4" s="672"/>
      <c r="S4" s="672"/>
      <c r="T4" s="672"/>
      <c r="U4" s="672"/>
      <c r="V4" s="672"/>
      <c r="W4" s="672"/>
      <c r="X4" s="672"/>
      <c r="Y4" s="672"/>
      <c r="Z4" s="672"/>
      <c r="AA4" s="672"/>
      <c r="AB4" s="672"/>
      <c r="AC4" s="672"/>
      <c r="AD4" s="672"/>
      <c r="AE4" s="672"/>
      <c r="AF4" s="672"/>
      <c r="AG4" s="672"/>
      <c r="AH4" s="672"/>
      <c r="AI4" s="672"/>
      <c r="AJ4" s="672"/>
      <c r="AK4" s="672"/>
      <c r="AL4" s="672"/>
      <c r="AM4" s="672"/>
      <c r="AN4" s="672"/>
      <c r="AO4" s="672"/>
      <c r="AP4" s="672"/>
      <c r="AQ4" s="672"/>
      <c r="AR4" s="672"/>
    </row>
    <row r="5" spans="1:44" ht="12.75" customHeight="1">
      <c r="A5" s="140">
        <v>1</v>
      </c>
      <c r="B5" s="98">
        <v>2</v>
      </c>
      <c r="C5" s="98">
        <v>3</v>
      </c>
      <c r="D5" s="98">
        <v>4</v>
      </c>
      <c r="E5" s="98">
        <v>5</v>
      </c>
      <c r="F5" s="98">
        <v>6</v>
      </c>
      <c r="G5" s="98">
        <v>7</v>
      </c>
      <c r="H5" s="98">
        <v>8</v>
      </c>
      <c r="I5" s="98">
        <v>9</v>
      </c>
      <c r="J5" s="98">
        <v>10</v>
      </c>
      <c r="K5" s="648">
        <v>11</v>
      </c>
      <c r="L5" s="673"/>
      <c r="M5" s="672"/>
      <c r="N5" s="672"/>
      <c r="O5" s="672"/>
      <c r="P5" s="672"/>
      <c r="Q5" s="672"/>
      <c r="R5" s="672"/>
      <c r="S5" s="672"/>
      <c r="T5" s="672"/>
      <c r="U5" s="672"/>
      <c r="V5" s="672"/>
      <c r="W5" s="672"/>
      <c r="X5" s="672"/>
      <c r="Y5" s="672"/>
      <c r="Z5" s="672"/>
      <c r="AA5" s="672"/>
      <c r="AB5" s="672"/>
      <c r="AC5" s="672"/>
      <c r="AD5" s="672"/>
      <c r="AE5" s="672"/>
      <c r="AF5" s="672"/>
      <c r="AG5" s="672"/>
      <c r="AH5" s="672"/>
      <c r="AI5" s="672"/>
      <c r="AJ5" s="672"/>
      <c r="AK5" s="672"/>
      <c r="AL5" s="672"/>
      <c r="AM5" s="672"/>
      <c r="AN5" s="672"/>
      <c r="AO5" s="672"/>
      <c r="AP5" s="672"/>
      <c r="AQ5" s="672"/>
      <c r="AR5" s="672"/>
    </row>
    <row r="6" spans="1:44" s="5" customFormat="1" ht="21" customHeight="1">
      <c r="A6" s="755" t="s">
        <v>175</v>
      </c>
      <c r="B6" s="755"/>
      <c r="C6" s="755"/>
      <c r="D6" s="755"/>
      <c r="E6" s="755"/>
      <c r="F6" s="755"/>
      <c r="G6" s="755"/>
      <c r="H6" s="755"/>
      <c r="I6" s="755"/>
      <c r="J6" s="755"/>
      <c r="K6" s="756"/>
      <c r="L6" s="674" t="s">
        <v>595</v>
      </c>
      <c r="M6" s="675">
        <f>F7+F14+F44</f>
        <v>-4.9999999966530595E-2</v>
      </c>
      <c r="N6" s="676"/>
      <c r="O6" s="676"/>
      <c r="P6" s="676"/>
      <c r="Q6" s="676"/>
      <c r="R6" s="676"/>
      <c r="S6" s="676"/>
      <c r="T6" s="676"/>
      <c r="U6" s="676"/>
      <c r="V6" s="676"/>
      <c r="W6" s="676"/>
      <c r="X6" s="676"/>
      <c r="Y6" s="676"/>
      <c r="Z6" s="676"/>
      <c r="AA6" s="676"/>
      <c r="AB6" s="676"/>
      <c r="AC6" s="676"/>
      <c r="AD6" s="676"/>
      <c r="AE6" s="676"/>
      <c r="AF6" s="676"/>
      <c r="AG6" s="676"/>
      <c r="AH6" s="676"/>
      <c r="AI6" s="676"/>
      <c r="AJ6" s="676"/>
      <c r="AK6" s="676"/>
      <c r="AL6" s="676"/>
      <c r="AM6" s="676"/>
      <c r="AN6" s="676"/>
      <c r="AO6" s="676"/>
      <c r="AP6" s="676"/>
      <c r="AQ6" s="676"/>
      <c r="AR6" s="676"/>
    </row>
    <row r="7" spans="1:44" s="5" customFormat="1" ht="60.75" customHeight="1">
      <c r="A7" s="132" t="s">
        <v>366</v>
      </c>
      <c r="B7" s="119">
        <v>1000</v>
      </c>
      <c r="C7" s="182">
        <f>SUM(C8:C13)</f>
        <v>178349.1</v>
      </c>
      <c r="D7" s="182">
        <f>SUM(D8:D13)</f>
        <v>186222.3</v>
      </c>
      <c r="E7" s="182">
        <f>SUM(E8:E13)</f>
        <v>170500</v>
      </c>
      <c r="F7" s="622">
        <f>SUM(G7:J7)</f>
        <v>175768.7</v>
      </c>
      <c r="G7" s="182">
        <f>SUM(G8:G13)</f>
        <v>43878.400000000001</v>
      </c>
      <c r="H7" s="182">
        <f>SUM(H8:H13)</f>
        <v>43878.400000000001</v>
      </c>
      <c r="I7" s="182">
        <f>SUM(I8:I13)</f>
        <v>43772.4</v>
      </c>
      <c r="J7" s="182">
        <f>SUM(J8:J13)</f>
        <v>44239.5</v>
      </c>
      <c r="K7" s="747" t="s">
        <v>587</v>
      </c>
      <c r="L7" s="677"/>
      <c r="M7" s="678"/>
      <c r="N7" s="676"/>
      <c r="O7" s="676"/>
      <c r="P7" s="676"/>
      <c r="Q7" s="676"/>
      <c r="R7" s="676"/>
      <c r="S7" s="676"/>
      <c r="T7" s="676"/>
      <c r="U7" s="676"/>
      <c r="V7" s="676"/>
      <c r="W7" s="676"/>
      <c r="X7" s="676"/>
      <c r="Y7" s="676"/>
      <c r="Z7" s="676"/>
      <c r="AA7" s="676"/>
      <c r="AB7" s="676"/>
      <c r="AC7" s="676"/>
      <c r="AD7" s="676"/>
      <c r="AE7" s="676"/>
      <c r="AF7" s="676"/>
      <c r="AG7" s="676"/>
      <c r="AH7" s="676"/>
      <c r="AI7" s="676"/>
      <c r="AJ7" s="676"/>
      <c r="AK7" s="676"/>
      <c r="AL7" s="676"/>
      <c r="AM7" s="676"/>
      <c r="AN7" s="676"/>
      <c r="AO7" s="676"/>
      <c r="AP7" s="676"/>
      <c r="AQ7" s="676"/>
      <c r="AR7" s="676"/>
    </row>
    <row r="8" spans="1:44" s="5" customFormat="1" ht="18.75" customHeight="1">
      <c r="A8" s="149" t="s">
        <v>563</v>
      </c>
      <c r="B8" s="152" t="s">
        <v>419</v>
      </c>
      <c r="C8" s="165">
        <v>178040.4</v>
      </c>
      <c r="D8" s="185">
        <v>185722.3</v>
      </c>
      <c r="E8" s="185">
        <v>170000</v>
      </c>
      <c r="F8" s="623">
        <f>SUM(G8:J8)</f>
        <v>174968.7</v>
      </c>
      <c r="G8" s="165">
        <v>43808.4</v>
      </c>
      <c r="H8" s="165">
        <v>43808.4</v>
      </c>
      <c r="I8" s="165">
        <v>43702.400000000001</v>
      </c>
      <c r="J8" s="165">
        <v>43649.5</v>
      </c>
      <c r="K8" s="748"/>
      <c r="L8" s="677"/>
      <c r="M8" s="678">
        <f>F8+F14+F44</f>
        <v>-800.04999999996653</v>
      </c>
      <c r="N8" s="676"/>
      <c r="O8" s="676"/>
      <c r="P8" s="676"/>
      <c r="Q8" s="676"/>
      <c r="R8" s="676"/>
      <c r="S8" s="676"/>
      <c r="T8" s="676"/>
      <c r="U8" s="676"/>
      <c r="V8" s="676"/>
      <c r="W8" s="676"/>
      <c r="X8" s="676"/>
      <c r="Y8" s="676"/>
      <c r="Z8" s="676"/>
      <c r="AA8" s="676"/>
      <c r="AB8" s="676"/>
      <c r="AC8" s="676"/>
      <c r="AD8" s="676"/>
      <c r="AE8" s="676"/>
      <c r="AF8" s="676"/>
      <c r="AG8" s="676"/>
      <c r="AH8" s="676"/>
      <c r="AI8" s="676"/>
      <c r="AJ8" s="676"/>
      <c r="AK8" s="676"/>
      <c r="AL8" s="676"/>
      <c r="AM8" s="676"/>
      <c r="AN8" s="676"/>
      <c r="AO8" s="676"/>
      <c r="AP8" s="676"/>
      <c r="AQ8" s="676"/>
      <c r="AR8" s="676"/>
    </row>
    <row r="9" spans="1:44" s="5" customFormat="1" ht="31.5" customHeight="1">
      <c r="A9" s="149" t="s">
        <v>534</v>
      </c>
      <c r="B9" s="152" t="s">
        <v>420</v>
      </c>
      <c r="C9" s="617"/>
      <c r="D9" s="185"/>
      <c r="E9" s="185"/>
      <c r="F9" s="623">
        <f>SUM(G9:J9)</f>
        <v>0</v>
      </c>
      <c r="G9" s="188">
        <v>0</v>
      </c>
      <c r="H9" s="188">
        <v>0</v>
      </c>
      <c r="I9" s="188">
        <v>0</v>
      </c>
      <c r="J9" s="188">
        <v>0</v>
      </c>
      <c r="K9" s="649"/>
      <c r="L9" s="679"/>
      <c r="M9" s="679"/>
      <c r="N9" s="680"/>
      <c r="O9" s="676"/>
      <c r="P9" s="676"/>
      <c r="Q9" s="676"/>
      <c r="R9" s="676"/>
      <c r="S9" s="676"/>
      <c r="T9" s="676"/>
      <c r="U9" s="676"/>
      <c r="V9" s="676"/>
      <c r="W9" s="676"/>
      <c r="X9" s="676"/>
      <c r="Y9" s="676"/>
      <c r="Z9" s="676"/>
      <c r="AA9" s="676"/>
      <c r="AB9" s="676"/>
      <c r="AC9" s="676"/>
      <c r="AD9" s="676"/>
      <c r="AE9" s="676"/>
      <c r="AF9" s="676"/>
      <c r="AG9" s="676"/>
      <c r="AH9" s="676"/>
      <c r="AI9" s="676"/>
      <c r="AJ9" s="676"/>
      <c r="AK9" s="676"/>
      <c r="AL9" s="676"/>
      <c r="AM9" s="676"/>
      <c r="AN9" s="676"/>
      <c r="AO9" s="676"/>
      <c r="AP9" s="676"/>
      <c r="AQ9" s="676"/>
      <c r="AR9" s="676"/>
    </row>
    <row r="10" spans="1:44" s="5" customFormat="1" hidden="1">
      <c r="A10" s="149" t="s">
        <v>498</v>
      </c>
      <c r="B10" s="152" t="s">
        <v>421</v>
      </c>
      <c r="C10" s="615"/>
      <c r="D10" s="208"/>
      <c r="E10" s="208"/>
      <c r="F10" s="623"/>
      <c r="G10" s="615"/>
      <c r="H10" s="615"/>
      <c r="I10" s="615"/>
      <c r="J10" s="615"/>
      <c r="K10" s="650"/>
      <c r="L10" s="681"/>
      <c r="M10" s="676"/>
      <c r="N10" s="676"/>
      <c r="O10" s="676"/>
      <c r="P10" s="676"/>
      <c r="Q10" s="676"/>
      <c r="R10" s="676"/>
      <c r="S10" s="676"/>
      <c r="T10" s="676"/>
      <c r="U10" s="676"/>
      <c r="V10" s="676"/>
      <c r="W10" s="676"/>
      <c r="X10" s="676"/>
      <c r="Y10" s="676"/>
      <c r="Z10" s="676"/>
      <c r="AA10" s="676"/>
      <c r="AB10" s="676"/>
      <c r="AC10" s="676"/>
      <c r="AD10" s="676"/>
      <c r="AE10" s="676"/>
      <c r="AF10" s="676"/>
      <c r="AG10" s="676"/>
      <c r="AH10" s="676"/>
      <c r="AI10" s="676"/>
      <c r="AJ10" s="676"/>
      <c r="AK10" s="676"/>
      <c r="AL10" s="676"/>
      <c r="AM10" s="676"/>
      <c r="AN10" s="676"/>
      <c r="AO10" s="676"/>
      <c r="AP10" s="676"/>
      <c r="AQ10" s="676"/>
      <c r="AR10" s="676"/>
    </row>
    <row r="11" spans="1:44" s="5" customFormat="1" hidden="1">
      <c r="A11" s="149" t="s">
        <v>456</v>
      </c>
      <c r="B11" s="152" t="s">
        <v>422</v>
      </c>
      <c r="C11" s="615"/>
      <c r="D11" s="208"/>
      <c r="E11" s="208"/>
      <c r="F11" s="623"/>
      <c r="G11" s="615"/>
      <c r="H11" s="615"/>
      <c r="I11" s="615"/>
      <c r="J11" s="615"/>
      <c r="K11" s="650"/>
      <c r="L11" s="681"/>
      <c r="M11" s="676"/>
      <c r="N11" s="676"/>
      <c r="O11" s="676"/>
      <c r="P11" s="676"/>
      <c r="Q11" s="676"/>
      <c r="R11" s="676"/>
      <c r="S11" s="676"/>
      <c r="T11" s="676"/>
      <c r="U11" s="676"/>
      <c r="V11" s="676"/>
      <c r="W11" s="676"/>
      <c r="X11" s="676"/>
      <c r="Y11" s="676"/>
      <c r="Z11" s="676"/>
      <c r="AA11" s="676"/>
      <c r="AB11" s="676"/>
      <c r="AC11" s="676"/>
      <c r="AD11" s="676"/>
      <c r="AE11" s="676"/>
      <c r="AF11" s="676"/>
      <c r="AG11" s="676"/>
      <c r="AH11" s="676"/>
      <c r="AI11" s="676"/>
      <c r="AJ11" s="676"/>
      <c r="AK11" s="676"/>
      <c r="AL11" s="676"/>
      <c r="AM11" s="676"/>
      <c r="AN11" s="676"/>
      <c r="AO11" s="676"/>
      <c r="AP11" s="676"/>
      <c r="AQ11" s="676"/>
      <c r="AR11" s="676"/>
    </row>
    <row r="12" spans="1:44" s="5" customFormat="1" ht="30.75" hidden="1" customHeight="1">
      <c r="A12" s="149" t="s">
        <v>499</v>
      </c>
      <c r="B12" s="152" t="s">
        <v>497</v>
      </c>
      <c r="C12" s="615"/>
      <c r="D12" s="185"/>
      <c r="E12" s="185"/>
      <c r="F12" s="623"/>
      <c r="G12" s="615"/>
      <c r="H12" s="615"/>
      <c r="I12" s="615"/>
      <c r="J12" s="615"/>
      <c r="K12" s="650"/>
      <c r="L12" s="681"/>
      <c r="M12" s="676"/>
      <c r="N12" s="676"/>
      <c r="O12" s="676"/>
      <c r="P12" s="676"/>
      <c r="Q12" s="676"/>
      <c r="R12" s="676"/>
      <c r="S12" s="676"/>
      <c r="T12" s="676"/>
      <c r="U12" s="676"/>
      <c r="V12" s="676"/>
      <c r="W12" s="676"/>
      <c r="X12" s="676"/>
      <c r="Y12" s="676"/>
      <c r="Z12" s="676"/>
      <c r="AA12" s="676"/>
      <c r="AB12" s="676"/>
      <c r="AC12" s="676"/>
      <c r="AD12" s="676"/>
      <c r="AE12" s="676"/>
      <c r="AF12" s="676"/>
      <c r="AG12" s="676"/>
      <c r="AH12" s="676"/>
      <c r="AI12" s="676"/>
      <c r="AJ12" s="676"/>
      <c r="AK12" s="676"/>
      <c r="AL12" s="676"/>
      <c r="AM12" s="676"/>
      <c r="AN12" s="676"/>
      <c r="AO12" s="676"/>
      <c r="AP12" s="676"/>
      <c r="AQ12" s="676"/>
      <c r="AR12" s="676"/>
    </row>
    <row r="13" spans="1:44" s="5" customFormat="1" ht="21.75" customHeight="1">
      <c r="A13" s="149" t="s">
        <v>510</v>
      </c>
      <c r="B13" s="152" t="s">
        <v>421</v>
      </c>
      <c r="C13" s="165">
        <v>308.7</v>
      </c>
      <c r="D13" s="185">
        <v>500</v>
      </c>
      <c r="E13" s="185">
        <v>500</v>
      </c>
      <c r="F13" s="623">
        <f>SUM(G13:J13)</f>
        <v>800</v>
      </c>
      <c r="G13" s="165">
        <v>70</v>
      </c>
      <c r="H13" s="165">
        <v>70</v>
      </c>
      <c r="I13" s="165">
        <v>70</v>
      </c>
      <c r="J13" s="165">
        <v>590</v>
      </c>
      <c r="K13" s="651"/>
      <c r="L13" s="681"/>
      <c r="M13" s="676"/>
      <c r="N13" s="676"/>
      <c r="O13" s="676"/>
      <c r="P13" s="676"/>
      <c r="Q13" s="676"/>
      <c r="R13" s="676"/>
      <c r="S13" s="676"/>
      <c r="T13" s="676"/>
      <c r="U13" s="676"/>
      <c r="V13" s="676"/>
      <c r="W13" s="676"/>
      <c r="X13" s="676"/>
      <c r="Y13" s="676"/>
      <c r="Z13" s="676"/>
      <c r="AA13" s="676"/>
      <c r="AB13" s="676"/>
      <c r="AC13" s="676"/>
      <c r="AD13" s="676"/>
      <c r="AE13" s="676"/>
      <c r="AF13" s="676"/>
      <c r="AG13" s="676"/>
      <c r="AH13" s="676"/>
      <c r="AI13" s="676"/>
      <c r="AJ13" s="676"/>
      <c r="AK13" s="676"/>
      <c r="AL13" s="676"/>
      <c r="AM13" s="676"/>
      <c r="AN13" s="676"/>
      <c r="AO13" s="676"/>
      <c r="AP13" s="676"/>
      <c r="AQ13" s="676"/>
      <c r="AR13" s="676"/>
    </row>
    <row r="14" spans="1:44" ht="58.5" customHeight="1">
      <c r="A14" s="132" t="s">
        <v>365</v>
      </c>
      <c r="B14" s="119">
        <v>1010</v>
      </c>
      <c r="C14" s="186">
        <f>SUM(C15:C22)</f>
        <v>-173400</v>
      </c>
      <c r="D14" s="186">
        <f>SUM(D15:D22)</f>
        <v>-182087.6</v>
      </c>
      <c r="E14" s="186">
        <f>SUM(E15:E22)</f>
        <v>-160897.83999999997</v>
      </c>
      <c r="F14" s="186">
        <f>SUM(G14:J14)</f>
        <v>-165397.34999999998</v>
      </c>
      <c r="G14" s="210">
        <f>SUM(G15:G22)</f>
        <v>-41541.699999999997</v>
      </c>
      <c r="H14" s="210">
        <f>SUM(H15:H22)</f>
        <v>-40914.599999999991</v>
      </c>
      <c r="I14" s="210">
        <f>SUM(I15:I22)</f>
        <v>-41054.549999999996</v>
      </c>
      <c r="J14" s="210">
        <f>SUM(J15:J22)</f>
        <v>-41886.5</v>
      </c>
      <c r="K14" s="650"/>
      <c r="L14" s="681"/>
      <c r="M14" s="672"/>
      <c r="N14" s="682">
        <f>-(E53+E19+E93)</f>
        <v>26813.64</v>
      </c>
      <c r="O14" s="683"/>
      <c r="P14" s="672"/>
      <c r="Q14" s="672"/>
      <c r="R14" s="672"/>
      <c r="S14" s="672"/>
      <c r="T14" s="672"/>
      <c r="U14" s="672"/>
      <c r="V14" s="672"/>
      <c r="W14" s="672"/>
      <c r="X14" s="672"/>
      <c r="Y14" s="672"/>
      <c r="Z14" s="672"/>
      <c r="AA14" s="672"/>
      <c r="AB14" s="672"/>
      <c r="AC14" s="672"/>
      <c r="AD14" s="672"/>
      <c r="AE14" s="672"/>
      <c r="AF14" s="672"/>
      <c r="AG14" s="672"/>
      <c r="AH14" s="672"/>
      <c r="AI14" s="672"/>
      <c r="AJ14" s="672"/>
      <c r="AK14" s="672"/>
      <c r="AL14" s="672"/>
      <c r="AM14" s="672"/>
      <c r="AN14" s="672"/>
      <c r="AO14" s="672"/>
      <c r="AP14" s="672"/>
      <c r="AQ14" s="672"/>
      <c r="AR14" s="672"/>
    </row>
    <row r="15" spans="1:44" ht="34.5" customHeight="1">
      <c r="A15" s="8" t="s">
        <v>358</v>
      </c>
      <c r="B15" s="98">
        <v>1011</v>
      </c>
      <c r="C15" s="243">
        <v>-2324</v>
      </c>
      <c r="D15" s="188">
        <v>-3200</v>
      </c>
      <c r="E15" s="188">
        <v>-3600</v>
      </c>
      <c r="F15" s="180">
        <f t="shared" ref="F15:F20" si="0">SUM(G15:J15)</f>
        <v>-3700</v>
      </c>
      <c r="G15" s="183">
        <v>-1000</v>
      </c>
      <c r="H15" s="183">
        <f>-(800)</f>
        <v>-800</v>
      </c>
      <c r="I15" s="183">
        <f>-(950)</f>
        <v>-950</v>
      </c>
      <c r="J15" s="183">
        <f>-(950)</f>
        <v>-950</v>
      </c>
      <c r="K15" s="652"/>
      <c r="L15" s="684"/>
      <c r="M15" s="683"/>
      <c r="N15" s="683"/>
      <c r="O15" s="683"/>
      <c r="P15" s="672"/>
      <c r="Q15" s="672"/>
      <c r="R15" s="672"/>
      <c r="S15" s="672"/>
      <c r="T15" s="672"/>
      <c r="U15" s="672"/>
      <c r="V15" s="672"/>
      <c r="W15" s="672"/>
      <c r="X15" s="672"/>
      <c r="Y15" s="672"/>
      <c r="Z15" s="672"/>
      <c r="AA15" s="672"/>
      <c r="AB15" s="672"/>
      <c r="AC15" s="672"/>
      <c r="AD15" s="672"/>
      <c r="AE15" s="672"/>
      <c r="AF15" s="672"/>
      <c r="AG15" s="672"/>
      <c r="AH15" s="672"/>
      <c r="AI15" s="672"/>
      <c r="AJ15" s="672"/>
      <c r="AK15" s="672"/>
      <c r="AL15" s="672"/>
      <c r="AM15" s="672"/>
      <c r="AN15" s="672"/>
      <c r="AO15" s="672"/>
      <c r="AP15" s="672"/>
      <c r="AQ15" s="672"/>
      <c r="AR15" s="672"/>
    </row>
    <row r="16" spans="1:44" ht="39" customHeight="1">
      <c r="A16" s="8" t="s">
        <v>359</v>
      </c>
      <c r="B16" s="98">
        <v>1012</v>
      </c>
      <c r="C16" s="243">
        <v>-431.4</v>
      </c>
      <c r="D16" s="188">
        <v>-532.1</v>
      </c>
      <c r="E16" s="188">
        <v>-450</v>
      </c>
      <c r="F16" s="180">
        <f t="shared" si="0"/>
        <v>-463</v>
      </c>
      <c r="G16" s="183">
        <v>-150</v>
      </c>
      <c r="H16" s="183">
        <v>-113</v>
      </c>
      <c r="I16" s="183">
        <v>-100</v>
      </c>
      <c r="J16" s="183">
        <v>-100</v>
      </c>
      <c r="K16" s="653"/>
      <c r="L16" s="685"/>
      <c r="M16" s="685"/>
      <c r="N16" s="683"/>
      <c r="O16" s="683"/>
      <c r="P16" s="672"/>
      <c r="Q16" s="672"/>
      <c r="R16" s="672"/>
      <c r="S16" s="672"/>
      <c r="T16" s="672"/>
      <c r="U16" s="672"/>
      <c r="V16" s="672"/>
      <c r="W16" s="672"/>
      <c r="X16" s="672"/>
      <c r="Y16" s="672"/>
      <c r="Z16" s="672"/>
      <c r="AA16" s="672"/>
      <c r="AB16" s="672"/>
      <c r="AC16" s="672"/>
      <c r="AD16" s="672"/>
      <c r="AE16" s="672"/>
      <c r="AF16" s="672"/>
      <c r="AG16" s="672"/>
      <c r="AH16" s="672"/>
      <c r="AI16" s="672"/>
      <c r="AJ16" s="672"/>
      <c r="AK16" s="672"/>
      <c r="AL16" s="672"/>
      <c r="AM16" s="672"/>
      <c r="AN16" s="672"/>
      <c r="AO16" s="672"/>
      <c r="AP16" s="672"/>
      <c r="AQ16" s="672"/>
      <c r="AR16" s="672"/>
    </row>
    <row r="17" spans="1:44" ht="32.25" customHeight="1">
      <c r="A17" s="8" t="s">
        <v>360</v>
      </c>
      <c r="B17" s="98">
        <v>1013</v>
      </c>
      <c r="C17" s="243">
        <v>0</v>
      </c>
      <c r="D17" s="188">
        <v>0</v>
      </c>
      <c r="E17" s="188">
        <v>0</v>
      </c>
      <c r="F17" s="180">
        <f t="shared" si="0"/>
        <v>0</v>
      </c>
      <c r="G17" s="183">
        <v>0</v>
      </c>
      <c r="H17" s="183">
        <v>0</v>
      </c>
      <c r="I17" s="207">
        <v>0</v>
      </c>
      <c r="J17" s="207">
        <v>0</v>
      </c>
      <c r="K17" s="649"/>
      <c r="L17" s="679"/>
      <c r="M17" s="679"/>
      <c r="N17" s="672"/>
      <c r="O17" s="686"/>
      <c r="P17" s="672"/>
      <c r="Q17" s="672"/>
      <c r="R17" s="672"/>
      <c r="S17" s="672"/>
      <c r="T17" s="672"/>
      <c r="U17" s="672"/>
      <c r="V17" s="672"/>
      <c r="W17" s="672"/>
      <c r="X17" s="672"/>
      <c r="Y17" s="672"/>
      <c r="Z17" s="672"/>
      <c r="AA17" s="672"/>
      <c r="AB17" s="672"/>
      <c r="AC17" s="672"/>
      <c r="AD17" s="672"/>
      <c r="AE17" s="672"/>
      <c r="AF17" s="672"/>
      <c r="AG17" s="672"/>
      <c r="AH17" s="672"/>
      <c r="AI17" s="672"/>
      <c r="AJ17" s="672"/>
      <c r="AK17" s="672"/>
      <c r="AL17" s="672"/>
      <c r="AM17" s="672"/>
      <c r="AN17" s="672"/>
      <c r="AO17" s="672"/>
      <c r="AP17" s="672"/>
      <c r="AQ17" s="672"/>
      <c r="AR17" s="672"/>
    </row>
    <row r="18" spans="1:44" ht="26.25" customHeight="1">
      <c r="A18" s="8" t="s">
        <v>361</v>
      </c>
      <c r="B18" s="98">
        <v>1014</v>
      </c>
      <c r="C18" s="243">
        <v>-133890</v>
      </c>
      <c r="D18" s="188">
        <v>-141158.9</v>
      </c>
      <c r="E18" s="188">
        <f>-(121996.4)</f>
        <v>-121996.4</v>
      </c>
      <c r="F18" s="180">
        <f t="shared" si="0"/>
        <v>-124215.44999999998</v>
      </c>
      <c r="G18" s="624">
        <f>-(28928.9+2340.5-600+310.5)</f>
        <v>-30979.9</v>
      </c>
      <c r="H18" s="624">
        <f>-(32929.1+538.7-150-2340.5-500+305+200)</f>
        <v>-30982.299999999996</v>
      </c>
      <c r="I18" s="624">
        <f>-(32928.9+538.7-430.95+150-2000-224.4-600+67.1+500)</f>
        <v>-30929.35</v>
      </c>
      <c r="J18" s="624">
        <f>-(28928.9+2000+900-228-300+23)</f>
        <v>-31323.9</v>
      </c>
      <c r="K18" s="654"/>
      <c r="L18" s="687"/>
      <c r="M18" s="688">
        <v>131099</v>
      </c>
      <c r="N18" s="689">
        <f>F18+M18</f>
        <v>6883.5500000000175</v>
      </c>
      <c r="O18" s="689"/>
      <c r="P18" s="672"/>
      <c r="Q18" s="672"/>
      <c r="R18" s="672"/>
      <c r="S18" s="672"/>
      <c r="T18" s="672"/>
      <c r="U18" s="672"/>
      <c r="V18" s="672"/>
      <c r="W18" s="672"/>
      <c r="X18" s="672"/>
      <c r="Y18" s="672"/>
      <c r="Z18" s="672"/>
      <c r="AA18" s="672"/>
      <c r="AB18" s="672"/>
      <c r="AC18" s="672"/>
      <c r="AD18" s="672"/>
      <c r="AE18" s="672"/>
      <c r="AF18" s="672"/>
      <c r="AG18" s="672"/>
      <c r="AH18" s="672"/>
      <c r="AI18" s="672"/>
      <c r="AJ18" s="672"/>
      <c r="AK18" s="672"/>
      <c r="AL18" s="672"/>
      <c r="AM18" s="672"/>
      <c r="AN18" s="672"/>
      <c r="AO18" s="672"/>
      <c r="AP18" s="672"/>
      <c r="AQ18" s="672"/>
      <c r="AR18" s="672"/>
    </row>
    <row r="19" spans="1:44" ht="33.75" customHeight="1">
      <c r="A19" s="8" t="s">
        <v>362</v>
      </c>
      <c r="B19" s="98">
        <v>1015</v>
      </c>
      <c r="C19" s="243">
        <v>-26807.9</v>
      </c>
      <c r="D19" s="188">
        <v>-29078.7</v>
      </c>
      <c r="E19" s="188">
        <f>-(24713.24)</f>
        <v>-24713.24</v>
      </c>
      <c r="F19" s="180">
        <f t="shared" si="0"/>
        <v>-25653.4</v>
      </c>
      <c r="G19" s="183">
        <f>ROUND(G18*20.65235%,1)</f>
        <v>-6398.1</v>
      </c>
      <c r="H19" s="183">
        <f t="shared" ref="H19:J19" si="1">ROUND(H18*20.6523%,1)</f>
        <v>-6398.6</v>
      </c>
      <c r="I19" s="183">
        <f t="shared" si="1"/>
        <v>-6387.6</v>
      </c>
      <c r="J19" s="183">
        <f t="shared" si="1"/>
        <v>-6469.1</v>
      </c>
      <c r="K19" s="654"/>
      <c r="L19" s="687"/>
      <c r="M19" s="672"/>
      <c r="N19" s="672"/>
      <c r="O19" s="683"/>
      <c r="P19" s="672"/>
      <c r="Q19" s="672"/>
      <c r="R19" s="672"/>
      <c r="S19" s="672"/>
      <c r="T19" s="672"/>
      <c r="U19" s="672"/>
      <c r="V19" s="672"/>
      <c r="W19" s="672"/>
      <c r="X19" s="672"/>
      <c r="Y19" s="672"/>
      <c r="Z19" s="672"/>
      <c r="AA19" s="672"/>
      <c r="AB19" s="672"/>
      <c r="AC19" s="672"/>
      <c r="AD19" s="672"/>
      <c r="AE19" s="672"/>
      <c r="AF19" s="672"/>
      <c r="AG19" s="672"/>
      <c r="AH19" s="672"/>
      <c r="AI19" s="672"/>
      <c r="AJ19" s="672"/>
      <c r="AK19" s="672"/>
      <c r="AL19" s="672"/>
      <c r="AM19" s="672"/>
      <c r="AN19" s="672"/>
      <c r="AO19" s="672"/>
      <c r="AP19" s="672"/>
      <c r="AQ19" s="672"/>
      <c r="AR19" s="672"/>
    </row>
    <row r="20" spans="1:44" ht="78.75" customHeight="1">
      <c r="A20" s="181" t="s">
        <v>465</v>
      </c>
      <c r="B20" s="98">
        <v>1016</v>
      </c>
      <c r="C20" s="243">
        <v>-1714.4</v>
      </c>
      <c r="D20" s="188">
        <v>-1388</v>
      </c>
      <c r="E20" s="188">
        <v>-1812.6</v>
      </c>
      <c r="F20" s="180">
        <f t="shared" si="0"/>
        <v>-1870</v>
      </c>
      <c r="G20" s="183">
        <f>-(390+200)</f>
        <v>-590</v>
      </c>
      <c r="H20" s="183">
        <v>-310</v>
      </c>
      <c r="I20" s="183">
        <v>-450</v>
      </c>
      <c r="J20" s="183">
        <f>-(350+170)</f>
        <v>-520</v>
      </c>
      <c r="K20" s="655"/>
      <c r="L20" s="690"/>
      <c r="M20" s="683"/>
      <c r="N20" s="672"/>
      <c r="O20" s="672"/>
      <c r="P20" s="672"/>
      <c r="Q20" s="672"/>
      <c r="R20" s="672"/>
      <c r="S20" s="672"/>
      <c r="T20" s="672"/>
      <c r="U20" s="672"/>
      <c r="V20" s="672"/>
      <c r="W20" s="672"/>
      <c r="X20" s="672"/>
      <c r="Y20" s="672"/>
      <c r="Z20" s="672"/>
      <c r="AA20" s="672"/>
      <c r="AB20" s="672"/>
      <c r="AC20" s="672"/>
      <c r="AD20" s="672"/>
      <c r="AE20" s="672"/>
      <c r="AF20" s="672"/>
      <c r="AG20" s="672"/>
      <c r="AH20" s="672"/>
      <c r="AI20" s="672"/>
      <c r="AJ20" s="672"/>
      <c r="AK20" s="672"/>
      <c r="AL20" s="672"/>
      <c r="AM20" s="672"/>
      <c r="AN20" s="672"/>
      <c r="AO20" s="672"/>
      <c r="AP20" s="672"/>
      <c r="AQ20" s="672"/>
      <c r="AR20" s="672"/>
    </row>
    <row r="21" spans="1:44" ht="42" customHeight="1">
      <c r="A21" s="8" t="s">
        <v>363</v>
      </c>
      <c r="B21" s="98">
        <v>1017</v>
      </c>
      <c r="C21" s="243">
        <v>-2869.6</v>
      </c>
      <c r="D21" s="188">
        <v>-3334</v>
      </c>
      <c r="E21" s="188">
        <v>-4204.3</v>
      </c>
      <c r="F21" s="180">
        <f>SUM(G21:J21)</f>
        <v>-5562.3</v>
      </c>
      <c r="G21" s="183">
        <v>-1345.1</v>
      </c>
      <c r="H21" s="183">
        <v>-1350</v>
      </c>
      <c r="I21" s="183">
        <v>-1350</v>
      </c>
      <c r="J21" s="183">
        <v>-1517.2</v>
      </c>
      <c r="K21" s="656"/>
      <c r="L21" s="691"/>
      <c r="M21" s="672">
        <f>1600/4</f>
        <v>400</v>
      </c>
      <c r="N21" s="683"/>
      <c r="O21" s="672"/>
      <c r="P21" s="672"/>
      <c r="Q21" s="672"/>
      <c r="R21" s="672"/>
      <c r="S21" s="672"/>
      <c r="T21" s="672"/>
      <c r="U21" s="672"/>
      <c r="V21" s="672"/>
      <c r="W21" s="672"/>
      <c r="X21" s="672"/>
      <c r="Y21" s="672"/>
      <c r="Z21" s="672"/>
      <c r="AA21" s="672"/>
      <c r="AB21" s="672"/>
      <c r="AC21" s="672"/>
      <c r="AD21" s="672"/>
      <c r="AE21" s="672"/>
      <c r="AF21" s="672"/>
      <c r="AG21" s="672"/>
      <c r="AH21" s="672"/>
      <c r="AI21" s="672"/>
      <c r="AJ21" s="672"/>
      <c r="AK21" s="672"/>
      <c r="AL21" s="672"/>
      <c r="AM21" s="672"/>
      <c r="AN21" s="672"/>
      <c r="AO21" s="672"/>
      <c r="AP21" s="672"/>
      <c r="AQ21" s="672"/>
      <c r="AR21" s="672"/>
    </row>
    <row r="22" spans="1:44" ht="33.75" customHeight="1">
      <c r="A22" s="8" t="s">
        <v>364</v>
      </c>
      <c r="B22" s="98">
        <v>1018</v>
      </c>
      <c r="C22" s="243">
        <f>SUM(C23:C32)</f>
        <v>-5362.7000000000007</v>
      </c>
      <c r="D22" s="183">
        <f>SUM(D23:D32)</f>
        <v>-3395.9</v>
      </c>
      <c r="E22" s="183">
        <f>SUM(E23:E32)</f>
        <v>-4121.3</v>
      </c>
      <c r="F22" s="180">
        <f>SUM(G22:J22)</f>
        <v>-3933.2</v>
      </c>
      <c r="G22" s="183">
        <f>SUM(G23:G32)</f>
        <v>-1078.6000000000001</v>
      </c>
      <c r="H22" s="183">
        <f>SUM(H23:H32)</f>
        <v>-960.7</v>
      </c>
      <c r="I22" s="183">
        <f>SUM(I23:I32)</f>
        <v>-887.6</v>
      </c>
      <c r="J22" s="183">
        <f>SUM(J23:J32)</f>
        <v>-1006.3</v>
      </c>
      <c r="K22" s="657"/>
      <c r="L22" s="687"/>
      <c r="M22" s="672"/>
      <c r="N22" s="672"/>
      <c r="O22" s="672"/>
      <c r="P22" s="672"/>
      <c r="Q22" s="672"/>
      <c r="R22" s="672"/>
      <c r="S22" s="672"/>
      <c r="T22" s="672"/>
      <c r="U22" s="672"/>
      <c r="V22" s="672"/>
      <c r="W22" s="672"/>
      <c r="X22" s="672"/>
      <c r="Y22" s="672"/>
      <c r="Z22" s="672"/>
      <c r="AA22" s="672"/>
      <c r="AB22" s="672"/>
      <c r="AC22" s="672"/>
      <c r="AD22" s="672"/>
      <c r="AE22" s="672"/>
      <c r="AF22" s="672"/>
      <c r="AG22" s="672"/>
      <c r="AH22" s="672"/>
      <c r="AI22" s="672"/>
      <c r="AJ22" s="672"/>
      <c r="AK22" s="672"/>
      <c r="AL22" s="672"/>
      <c r="AM22" s="672"/>
      <c r="AN22" s="672"/>
      <c r="AO22" s="672"/>
      <c r="AP22" s="672"/>
      <c r="AQ22" s="672"/>
      <c r="AR22" s="672"/>
    </row>
    <row r="23" spans="1:44" ht="38.25" hidden="1" customHeight="1">
      <c r="A23" s="87" t="s">
        <v>429</v>
      </c>
      <c r="B23" s="153" t="s">
        <v>424</v>
      </c>
      <c r="C23" s="243">
        <v>0</v>
      </c>
      <c r="D23" s="188">
        <v>0</v>
      </c>
      <c r="E23" s="188">
        <v>0</v>
      </c>
      <c r="F23" s="189">
        <f t="shared" ref="F23:F28" si="2">SUM(G23:J23)</f>
        <v>0</v>
      </c>
      <c r="G23" s="188">
        <f>-(G9-(-G17))</f>
        <v>0</v>
      </c>
      <c r="H23" s="188">
        <f>-(H9-(-H17))</f>
        <v>0</v>
      </c>
      <c r="I23" s="188">
        <v>0</v>
      </c>
      <c r="J23" s="188">
        <v>0</v>
      </c>
      <c r="K23" s="649" t="s">
        <v>583</v>
      </c>
      <c r="L23" s="679"/>
      <c r="M23" s="683">
        <f>F23+F17</f>
        <v>0</v>
      </c>
      <c r="N23" s="683">
        <f>G23+G17</f>
        <v>0</v>
      </c>
      <c r="O23" s="683">
        <f>H23+H17</f>
        <v>0</v>
      </c>
      <c r="P23" s="683">
        <f>I23+I17</f>
        <v>0</v>
      </c>
      <c r="Q23" s="683"/>
      <c r="R23" s="683">
        <f>J23+J17</f>
        <v>0</v>
      </c>
      <c r="S23" s="672"/>
      <c r="T23" s="672"/>
      <c r="U23" s="672"/>
      <c r="V23" s="672"/>
      <c r="W23" s="672"/>
      <c r="X23" s="672"/>
      <c r="Y23" s="672"/>
      <c r="Z23" s="672"/>
      <c r="AA23" s="672"/>
      <c r="AB23" s="672"/>
      <c r="AC23" s="672"/>
      <c r="AD23" s="672"/>
      <c r="AE23" s="672"/>
      <c r="AF23" s="672"/>
      <c r="AG23" s="672"/>
      <c r="AH23" s="672"/>
      <c r="AI23" s="672"/>
      <c r="AJ23" s="672"/>
      <c r="AK23" s="672"/>
      <c r="AL23" s="672"/>
      <c r="AM23" s="672"/>
      <c r="AN23" s="672"/>
      <c r="AO23" s="672"/>
      <c r="AP23" s="672"/>
      <c r="AQ23" s="672"/>
      <c r="AR23" s="672"/>
    </row>
    <row r="24" spans="1:44" ht="23.25" hidden="1" customHeight="1">
      <c r="A24" s="87" t="s">
        <v>425</v>
      </c>
      <c r="B24" s="98" t="s">
        <v>437</v>
      </c>
      <c r="C24" s="243">
        <v>0</v>
      </c>
      <c r="D24" s="188"/>
      <c r="E24" s="188"/>
      <c r="F24" s="189">
        <f t="shared" si="2"/>
        <v>0</v>
      </c>
      <c r="G24" s="188">
        <v>0</v>
      </c>
      <c r="H24" s="188">
        <v>0</v>
      </c>
      <c r="I24" s="188">
        <v>0</v>
      </c>
      <c r="J24" s="188">
        <v>0</v>
      </c>
      <c r="K24" s="650"/>
      <c r="L24" s="681"/>
      <c r="M24" s="672"/>
      <c r="N24" s="672">
        <v>765</v>
      </c>
      <c r="O24" s="672">
        <v>235</v>
      </c>
      <c r="P24" s="672">
        <v>235</v>
      </c>
      <c r="Q24" s="672"/>
      <c r="R24" s="672">
        <v>579.5</v>
      </c>
      <c r="S24" s="672"/>
      <c r="T24" s="672"/>
      <c r="U24" s="672"/>
      <c r="V24" s="672"/>
      <c r="W24" s="672"/>
      <c r="X24" s="672"/>
      <c r="Y24" s="672"/>
      <c r="Z24" s="672"/>
      <c r="AA24" s="672"/>
      <c r="AB24" s="672"/>
      <c r="AC24" s="672"/>
      <c r="AD24" s="672"/>
      <c r="AE24" s="672"/>
      <c r="AF24" s="672"/>
      <c r="AG24" s="672"/>
      <c r="AH24" s="672"/>
      <c r="AI24" s="672"/>
      <c r="AJ24" s="672"/>
      <c r="AK24" s="672"/>
      <c r="AL24" s="672"/>
      <c r="AM24" s="672"/>
      <c r="AN24" s="672"/>
      <c r="AO24" s="672"/>
      <c r="AP24" s="672"/>
      <c r="AQ24" s="672"/>
      <c r="AR24" s="672"/>
    </row>
    <row r="25" spans="1:44" ht="32.25" customHeight="1">
      <c r="A25" s="87" t="s">
        <v>428</v>
      </c>
      <c r="B25" s="153" t="s">
        <v>438</v>
      </c>
      <c r="C25" s="243">
        <v>-970.2</v>
      </c>
      <c r="D25" s="188">
        <v>-900</v>
      </c>
      <c r="E25" s="188">
        <v>-1374.7</v>
      </c>
      <c r="F25" s="244">
        <f t="shared" si="2"/>
        <v>-900</v>
      </c>
      <c r="G25" s="188">
        <v>-300</v>
      </c>
      <c r="H25" s="188">
        <f>-(200)</f>
        <v>-200</v>
      </c>
      <c r="I25" s="188">
        <v>-200</v>
      </c>
      <c r="J25" s="188">
        <v>-200</v>
      </c>
      <c r="K25" s="658"/>
      <c r="L25" s="692"/>
      <c r="M25" s="683">
        <v>45.3</v>
      </c>
      <c r="N25" s="672"/>
      <c r="O25" s="672"/>
      <c r="P25" s="672"/>
      <c r="Q25" s="672"/>
      <c r="R25" s="672"/>
      <c r="S25" s="672"/>
      <c r="T25" s="672"/>
      <c r="U25" s="672"/>
      <c r="V25" s="672"/>
      <c r="W25" s="672"/>
      <c r="X25" s="672"/>
      <c r="Y25" s="672"/>
      <c r="Z25" s="672"/>
      <c r="AA25" s="672"/>
      <c r="AB25" s="672"/>
      <c r="AC25" s="672"/>
      <c r="AD25" s="672"/>
      <c r="AE25" s="672"/>
      <c r="AF25" s="672"/>
      <c r="AG25" s="672"/>
      <c r="AH25" s="672"/>
      <c r="AI25" s="672"/>
      <c r="AJ25" s="672"/>
      <c r="AK25" s="672"/>
      <c r="AL25" s="672"/>
      <c r="AM25" s="672"/>
      <c r="AN25" s="672"/>
      <c r="AO25" s="672"/>
      <c r="AP25" s="672"/>
      <c r="AQ25" s="672"/>
      <c r="AR25" s="672"/>
    </row>
    <row r="26" spans="1:44" ht="34.5" customHeight="1">
      <c r="A26" s="149" t="s">
        <v>725</v>
      </c>
      <c r="B26" s="98" t="s">
        <v>439</v>
      </c>
      <c r="C26" s="243">
        <v>-1280.4000000000001</v>
      </c>
      <c r="D26" s="188">
        <v>-1793.9</v>
      </c>
      <c r="E26" s="188">
        <v>-2080</v>
      </c>
      <c r="F26" s="244">
        <f t="shared" si="2"/>
        <v>-2302.6</v>
      </c>
      <c r="G26" s="188">
        <f>-620.7</f>
        <v>-620.70000000000005</v>
      </c>
      <c r="H26" s="188">
        <f>-620.7</f>
        <v>-620.70000000000005</v>
      </c>
      <c r="I26" s="188">
        <f>-540.6</f>
        <v>-540.6</v>
      </c>
      <c r="J26" s="188">
        <f>-520.6</f>
        <v>-520.6</v>
      </c>
      <c r="K26" s="659"/>
      <c r="L26" s="674"/>
      <c r="M26" s="672">
        <v>78.3</v>
      </c>
      <c r="N26" s="672"/>
      <c r="O26" s="672"/>
      <c r="P26" s="672"/>
      <c r="Q26" s="672"/>
      <c r="R26" s="672"/>
      <c r="S26" s="672"/>
      <c r="T26" s="672"/>
      <c r="U26" s="672"/>
      <c r="V26" s="672"/>
      <c r="W26" s="672"/>
      <c r="X26" s="672"/>
      <c r="Y26" s="672"/>
      <c r="Z26" s="672"/>
      <c r="AA26" s="672"/>
      <c r="AB26" s="672"/>
      <c r="AC26" s="672"/>
      <c r="AD26" s="672"/>
      <c r="AE26" s="672"/>
      <c r="AF26" s="672"/>
      <c r="AG26" s="672"/>
      <c r="AH26" s="672"/>
      <c r="AI26" s="672"/>
      <c r="AJ26" s="672"/>
      <c r="AK26" s="672"/>
      <c r="AL26" s="672"/>
      <c r="AM26" s="672"/>
      <c r="AN26" s="672"/>
      <c r="AO26" s="672"/>
      <c r="AP26" s="672"/>
      <c r="AQ26" s="672"/>
      <c r="AR26" s="672"/>
    </row>
    <row r="27" spans="1:44" ht="23.25" customHeight="1">
      <c r="A27" s="87" t="s">
        <v>426</v>
      </c>
      <c r="B27" s="153" t="s">
        <v>494</v>
      </c>
      <c r="C27" s="243">
        <v>-518.4</v>
      </c>
      <c r="D27" s="188">
        <v>-485.8</v>
      </c>
      <c r="E27" s="188">
        <v>-518.4</v>
      </c>
      <c r="F27" s="244">
        <f t="shared" si="2"/>
        <v>-569.69999999999993</v>
      </c>
      <c r="G27" s="188">
        <v>-157.9</v>
      </c>
      <c r="H27" s="188">
        <v>-140</v>
      </c>
      <c r="I27" s="188">
        <v>-147</v>
      </c>
      <c r="J27" s="188">
        <v>-124.8</v>
      </c>
      <c r="K27" s="657"/>
      <c r="L27" s="687"/>
      <c r="M27" s="672">
        <v>46.8</v>
      </c>
      <c r="N27" s="672"/>
      <c r="O27" s="672"/>
      <c r="P27" s="672"/>
      <c r="Q27" s="672"/>
      <c r="R27" s="672"/>
      <c r="S27" s="672"/>
      <c r="T27" s="672"/>
      <c r="U27" s="672"/>
      <c r="V27" s="672"/>
      <c r="W27" s="672"/>
      <c r="X27" s="672"/>
      <c r="Y27" s="672"/>
      <c r="Z27" s="672"/>
      <c r="AA27" s="672"/>
      <c r="AB27" s="672"/>
      <c r="AC27" s="672"/>
      <c r="AD27" s="672"/>
      <c r="AE27" s="672"/>
      <c r="AF27" s="672"/>
      <c r="AG27" s="672"/>
      <c r="AH27" s="672"/>
      <c r="AI27" s="672"/>
      <c r="AJ27" s="672"/>
      <c r="AK27" s="672"/>
      <c r="AL27" s="672"/>
      <c r="AM27" s="672"/>
      <c r="AN27" s="672"/>
      <c r="AO27" s="672"/>
      <c r="AP27" s="672"/>
      <c r="AQ27" s="672"/>
      <c r="AR27" s="672"/>
    </row>
    <row r="28" spans="1:44" ht="50.25" customHeight="1">
      <c r="A28" s="87" t="s">
        <v>427</v>
      </c>
      <c r="B28" s="98" t="s">
        <v>440</v>
      </c>
      <c r="C28" s="243">
        <v>-108.9</v>
      </c>
      <c r="D28" s="188">
        <v>-170</v>
      </c>
      <c r="E28" s="188">
        <v>-120</v>
      </c>
      <c r="F28" s="244">
        <f t="shared" si="2"/>
        <v>-160.9</v>
      </c>
      <c r="G28" s="188">
        <v>0</v>
      </c>
      <c r="H28" s="188">
        <v>0</v>
      </c>
      <c r="I28" s="188">
        <v>0</v>
      </c>
      <c r="J28" s="188">
        <v>-160.9</v>
      </c>
      <c r="K28" s="660"/>
      <c r="L28" s="693"/>
      <c r="M28" s="672"/>
      <c r="N28" s="672"/>
      <c r="O28" s="672"/>
      <c r="P28" s="672"/>
      <c r="Q28" s="672"/>
      <c r="R28" s="672"/>
      <c r="S28" s="672"/>
      <c r="T28" s="672"/>
      <c r="U28" s="672"/>
      <c r="V28" s="672"/>
      <c r="W28" s="672"/>
      <c r="X28" s="672"/>
      <c r="Y28" s="672"/>
      <c r="Z28" s="672"/>
      <c r="AA28" s="672"/>
      <c r="AB28" s="672"/>
      <c r="AC28" s="672"/>
      <c r="AD28" s="672"/>
      <c r="AE28" s="672"/>
      <c r="AF28" s="672"/>
      <c r="AG28" s="672"/>
      <c r="AH28" s="672"/>
      <c r="AI28" s="672"/>
      <c r="AJ28" s="672"/>
      <c r="AK28" s="672"/>
      <c r="AL28" s="672"/>
      <c r="AM28" s="672"/>
      <c r="AN28" s="672"/>
      <c r="AO28" s="672"/>
      <c r="AP28" s="672"/>
      <c r="AQ28" s="672"/>
      <c r="AR28" s="672"/>
    </row>
    <row r="29" spans="1:44" ht="44.25" customHeight="1">
      <c r="A29" s="87" t="s">
        <v>586</v>
      </c>
      <c r="B29" s="153" t="s">
        <v>441</v>
      </c>
      <c r="C29" s="243">
        <v>-2471.9</v>
      </c>
      <c r="D29" s="188">
        <v>0</v>
      </c>
      <c r="E29" s="188"/>
      <c r="F29" s="244">
        <f>SUM(G29:J29)</f>
        <v>0</v>
      </c>
      <c r="G29" s="188">
        <f>0</f>
        <v>0</v>
      </c>
      <c r="H29" s="188">
        <f>0</f>
        <v>0</v>
      </c>
      <c r="I29" s="188">
        <f>0</f>
        <v>0</v>
      </c>
      <c r="J29" s="188">
        <f>0</f>
        <v>0</v>
      </c>
      <c r="K29" s="660"/>
      <c r="L29" s="693"/>
      <c r="M29" s="672"/>
      <c r="N29" s="676">
        <v>3737.2</v>
      </c>
      <c r="O29" s="676" t="s">
        <v>730</v>
      </c>
      <c r="P29" s="672"/>
      <c r="Q29" s="672"/>
      <c r="R29" s="672"/>
      <c r="S29" s="672"/>
      <c r="T29" s="672"/>
      <c r="U29" s="672"/>
      <c r="V29" s="672"/>
      <c r="W29" s="672"/>
      <c r="X29" s="672"/>
      <c r="Y29" s="672"/>
      <c r="Z29" s="672"/>
      <c r="AA29" s="672"/>
      <c r="AB29" s="672"/>
      <c r="AC29" s="672"/>
      <c r="AD29" s="672"/>
      <c r="AE29" s="672"/>
      <c r="AF29" s="672"/>
      <c r="AG29" s="672"/>
      <c r="AH29" s="672"/>
      <c r="AI29" s="672"/>
      <c r="AJ29" s="672"/>
      <c r="AK29" s="672"/>
      <c r="AL29" s="672"/>
      <c r="AM29" s="672"/>
      <c r="AN29" s="672"/>
      <c r="AO29" s="672"/>
      <c r="AP29" s="672"/>
      <c r="AQ29" s="672"/>
      <c r="AR29" s="672"/>
    </row>
    <row r="30" spans="1:44" ht="32.25" hidden="1" customHeight="1">
      <c r="A30" s="209" t="s">
        <v>436</v>
      </c>
      <c r="B30" s="121" t="s">
        <v>502</v>
      </c>
      <c r="C30" s="81" t="s">
        <v>218</v>
      </c>
      <c r="D30" s="81">
        <v>0</v>
      </c>
      <c r="E30" s="81">
        <v>0</v>
      </c>
      <c r="F30" s="245" t="s">
        <v>218</v>
      </c>
      <c r="G30" s="81">
        <v>0</v>
      </c>
      <c r="H30" s="81">
        <v>0</v>
      </c>
      <c r="I30" s="81">
        <v>0</v>
      </c>
      <c r="J30" s="81">
        <v>0</v>
      </c>
      <c r="K30" s="650"/>
      <c r="L30" s="681"/>
      <c r="M30" s="672"/>
      <c r="N30" s="672"/>
      <c r="O30" s="672"/>
      <c r="P30" s="672"/>
      <c r="Q30" s="672"/>
      <c r="R30" s="672"/>
      <c r="S30" s="672"/>
      <c r="T30" s="672"/>
      <c r="U30" s="672"/>
      <c r="V30" s="672"/>
      <c r="W30" s="672"/>
      <c r="X30" s="672"/>
      <c r="Y30" s="672"/>
      <c r="Z30" s="672"/>
      <c r="AA30" s="672"/>
      <c r="AB30" s="672"/>
      <c r="AC30" s="672"/>
      <c r="AD30" s="672"/>
      <c r="AE30" s="672"/>
      <c r="AF30" s="672"/>
      <c r="AG30" s="672"/>
      <c r="AH30" s="672"/>
      <c r="AI30" s="672"/>
      <c r="AJ30" s="672"/>
      <c r="AK30" s="672"/>
      <c r="AL30" s="672"/>
      <c r="AM30" s="672"/>
      <c r="AN30" s="672"/>
      <c r="AO30" s="672"/>
      <c r="AP30" s="672"/>
      <c r="AQ30" s="672"/>
      <c r="AR30" s="672"/>
    </row>
    <row r="31" spans="1:44" ht="33" hidden="1" customHeight="1">
      <c r="A31" s="209" t="s">
        <v>492</v>
      </c>
      <c r="B31" s="98" t="s">
        <v>503</v>
      </c>
      <c r="C31" s="81" t="s">
        <v>218</v>
      </c>
      <c r="D31" s="81">
        <v>0</v>
      </c>
      <c r="E31" s="81">
        <v>0</v>
      </c>
      <c r="F31" s="245" t="s">
        <v>218</v>
      </c>
      <c r="G31" s="81">
        <v>0</v>
      </c>
      <c r="H31" s="81">
        <v>0</v>
      </c>
      <c r="I31" s="81">
        <v>0</v>
      </c>
      <c r="J31" s="81">
        <v>0</v>
      </c>
      <c r="K31" s="650"/>
      <c r="L31" s="681"/>
      <c r="M31" s="672"/>
      <c r="N31" s="672"/>
      <c r="O31" s="672"/>
      <c r="P31" s="672"/>
      <c r="Q31" s="672"/>
      <c r="R31" s="672"/>
      <c r="S31" s="672"/>
      <c r="T31" s="672"/>
      <c r="U31" s="672"/>
      <c r="V31" s="672"/>
      <c r="W31" s="672"/>
      <c r="X31" s="672"/>
      <c r="Y31" s="672"/>
      <c r="Z31" s="672"/>
      <c r="AA31" s="672"/>
      <c r="AB31" s="672"/>
      <c r="AC31" s="672"/>
      <c r="AD31" s="672"/>
      <c r="AE31" s="672"/>
      <c r="AF31" s="672"/>
      <c r="AG31" s="672"/>
      <c r="AH31" s="672"/>
      <c r="AI31" s="672"/>
      <c r="AJ31" s="672"/>
      <c r="AK31" s="672"/>
      <c r="AL31" s="672"/>
      <c r="AM31" s="672"/>
      <c r="AN31" s="672"/>
      <c r="AO31" s="672"/>
      <c r="AP31" s="672"/>
      <c r="AQ31" s="672"/>
      <c r="AR31" s="672"/>
    </row>
    <row r="32" spans="1:44" ht="34.5" customHeight="1">
      <c r="A32" s="87" t="s">
        <v>545</v>
      </c>
      <c r="B32" s="121" t="s">
        <v>502</v>
      </c>
      <c r="C32" s="243">
        <v>-12.9</v>
      </c>
      <c r="D32" s="188">
        <v>-46.2</v>
      </c>
      <c r="E32" s="188">
        <v>-28.2</v>
      </c>
      <c r="F32" s="606">
        <f>SUM(G32:J32)</f>
        <v>0</v>
      </c>
      <c r="G32" s="183"/>
      <c r="H32" s="183"/>
      <c r="I32" s="183"/>
      <c r="J32" s="183"/>
      <c r="K32" s="661"/>
      <c r="L32" s="694"/>
      <c r="M32" s="695"/>
      <c r="N32" s="672"/>
      <c r="O32" s="672"/>
      <c r="P32" s="672"/>
      <c r="Q32" s="672"/>
      <c r="R32" s="672"/>
      <c r="S32" s="672"/>
      <c r="T32" s="672"/>
      <c r="U32" s="672"/>
      <c r="V32" s="672"/>
      <c r="W32" s="672"/>
      <c r="X32" s="672"/>
      <c r="Y32" s="672"/>
      <c r="Z32" s="672"/>
      <c r="AA32" s="672"/>
      <c r="AB32" s="672"/>
      <c r="AC32" s="672"/>
      <c r="AD32" s="672"/>
      <c r="AE32" s="672"/>
      <c r="AF32" s="672"/>
      <c r="AG32" s="672"/>
      <c r="AH32" s="672"/>
      <c r="AI32" s="672"/>
      <c r="AJ32" s="672"/>
      <c r="AK32" s="672"/>
      <c r="AL32" s="672"/>
      <c r="AM32" s="672"/>
      <c r="AN32" s="672"/>
      <c r="AO32" s="672"/>
      <c r="AP32" s="672"/>
      <c r="AQ32" s="672"/>
      <c r="AR32" s="672"/>
    </row>
    <row r="33" spans="1:44" s="5" customFormat="1" ht="30.75" customHeight="1">
      <c r="A33" s="133" t="s">
        <v>389</v>
      </c>
      <c r="B33" s="119">
        <v>1020</v>
      </c>
      <c r="C33" s="205">
        <f t="shared" ref="C33:J33" si="3">C7+C14</f>
        <v>4949.1000000000058</v>
      </c>
      <c r="D33" s="190">
        <f t="shared" si="3"/>
        <v>4134.6999999999825</v>
      </c>
      <c r="E33" s="191">
        <f>E7+E14</f>
        <v>9602.1600000000326</v>
      </c>
      <c r="F33" s="190">
        <f t="shared" si="3"/>
        <v>10371.350000000035</v>
      </c>
      <c r="G33" s="191">
        <f t="shared" si="3"/>
        <v>2336.7000000000044</v>
      </c>
      <c r="H33" s="190">
        <f t="shared" si="3"/>
        <v>2963.8000000000102</v>
      </c>
      <c r="I33" s="190">
        <f t="shared" si="3"/>
        <v>2717.8500000000058</v>
      </c>
      <c r="J33" s="190">
        <f t="shared" si="3"/>
        <v>2353</v>
      </c>
      <c r="K33" s="662"/>
      <c r="L33" s="696"/>
      <c r="M33" s="676"/>
      <c r="N33" s="676"/>
      <c r="O33" s="676"/>
      <c r="P33" s="676"/>
      <c r="Q33" s="676"/>
      <c r="R33" s="676"/>
      <c r="S33" s="676"/>
      <c r="T33" s="676"/>
      <c r="U33" s="676"/>
      <c r="V33" s="676"/>
      <c r="W33" s="676"/>
      <c r="X33" s="676"/>
      <c r="Y33" s="676"/>
      <c r="Z33" s="676"/>
      <c r="AA33" s="676"/>
      <c r="AB33" s="676"/>
      <c r="AC33" s="676"/>
      <c r="AD33" s="676"/>
      <c r="AE33" s="676"/>
      <c r="AF33" s="676"/>
      <c r="AG33" s="676"/>
      <c r="AH33" s="676"/>
      <c r="AI33" s="676"/>
      <c r="AJ33" s="676"/>
      <c r="AK33" s="676"/>
      <c r="AL33" s="676"/>
      <c r="AM33" s="676"/>
      <c r="AN33" s="676"/>
      <c r="AO33" s="676"/>
      <c r="AP33" s="676"/>
      <c r="AQ33" s="676"/>
      <c r="AR33" s="676"/>
    </row>
    <row r="34" spans="1:44" ht="34.5" customHeight="1">
      <c r="A34" s="132" t="s">
        <v>367</v>
      </c>
      <c r="B34" s="119">
        <v>1030</v>
      </c>
      <c r="C34" s="187">
        <f>C35+C36+C40+C41+C42+C43</f>
        <v>49688</v>
      </c>
      <c r="D34" s="187">
        <f>D35+D36+D40+D41+D42+D43</f>
        <v>52090.8</v>
      </c>
      <c r="E34" s="187">
        <f>E35+E36+E40+E41+E42+E43</f>
        <v>57649.5</v>
      </c>
      <c r="F34" s="187">
        <f>SUM(G34:J34)</f>
        <v>54357.792400000006</v>
      </c>
      <c r="G34" s="225">
        <f>SUM(G35:G43)-G37-G38-G39</f>
        <v>31484.379200000003</v>
      </c>
      <c r="H34" s="225">
        <f t="shared" ref="H34:J34" si="4">SUM(H35:H43)-H37-H38-H39</f>
        <v>8021.347200000002</v>
      </c>
      <c r="I34" s="225">
        <f t="shared" si="4"/>
        <v>7208.8258000000005</v>
      </c>
      <c r="J34" s="225">
        <f t="shared" si="4"/>
        <v>7643.2402000000002</v>
      </c>
      <c r="K34" s="650"/>
      <c r="L34" s="681"/>
      <c r="M34" s="672"/>
      <c r="N34" s="672"/>
      <c r="O34" s="683"/>
      <c r="P34" s="672"/>
      <c r="Q34" s="672"/>
      <c r="R34" s="672"/>
      <c r="S34" s="672"/>
      <c r="T34" s="672"/>
      <c r="U34" s="672"/>
      <c r="V34" s="672"/>
      <c r="W34" s="672"/>
      <c r="X34" s="672"/>
      <c r="Y34" s="672"/>
      <c r="Z34" s="672"/>
      <c r="AA34" s="672"/>
      <c r="AB34" s="672"/>
      <c r="AC34" s="672"/>
      <c r="AD34" s="672"/>
      <c r="AE34" s="672"/>
      <c r="AF34" s="672"/>
      <c r="AG34" s="672"/>
      <c r="AH34" s="672"/>
      <c r="AI34" s="672"/>
      <c r="AJ34" s="672"/>
      <c r="AK34" s="672"/>
      <c r="AL34" s="672"/>
      <c r="AM34" s="672"/>
      <c r="AN34" s="672"/>
      <c r="AO34" s="672"/>
      <c r="AP34" s="672"/>
      <c r="AQ34" s="672"/>
      <c r="AR34" s="672"/>
    </row>
    <row r="35" spans="1:44" ht="66" customHeight="1">
      <c r="A35" s="87" t="s">
        <v>771</v>
      </c>
      <c r="B35" s="121">
        <v>1031</v>
      </c>
      <c r="C35" s="196">
        <v>8301.7000000000007</v>
      </c>
      <c r="D35" s="188">
        <v>6300</v>
      </c>
      <c r="E35" s="188">
        <f>11814.4</f>
        <v>11814.4</v>
      </c>
      <c r="F35" s="189">
        <f t="shared" ref="F35:F41" si="5">SUM(G35:J35)</f>
        <v>6300</v>
      </c>
      <c r="G35" s="188">
        <v>1800</v>
      </c>
      <c r="H35" s="188">
        <v>1500</v>
      </c>
      <c r="I35" s="625">
        <v>1500</v>
      </c>
      <c r="J35" s="625">
        <v>1500</v>
      </c>
      <c r="K35" s="663"/>
      <c r="L35" s="674"/>
      <c r="M35" s="672" t="s">
        <v>743</v>
      </c>
      <c r="N35" s="672"/>
      <c r="O35" s="672"/>
      <c r="P35" s="672"/>
      <c r="Q35" s="672"/>
      <c r="R35" s="672"/>
      <c r="S35" s="672"/>
      <c r="T35" s="672"/>
      <c r="U35" s="672"/>
      <c r="V35" s="672"/>
      <c r="W35" s="672"/>
      <c r="X35" s="672"/>
      <c r="Y35" s="672"/>
      <c r="Z35" s="672"/>
      <c r="AA35" s="672"/>
      <c r="AB35" s="672"/>
      <c r="AC35" s="672"/>
      <c r="AD35" s="672"/>
      <c r="AE35" s="672"/>
      <c r="AF35" s="672"/>
      <c r="AG35" s="672"/>
      <c r="AH35" s="672"/>
      <c r="AI35" s="672"/>
      <c r="AJ35" s="672"/>
      <c r="AK35" s="672"/>
      <c r="AL35" s="672"/>
      <c r="AM35" s="672"/>
      <c r="AN35" s="672"/>
      <c r="AO35" s="672"/>
      <c r="AP35" s="672"/>
      <c r="AQ35" s="672"/>
      <c r="AR35" s="672"/>
    </row>
    <row r="36" spans="1:44" ht="48.75" customHeight="1">
      <c r="A36" s="149" t="s">
        <v>713</v>
      </c>
      <c r="B36" s="152">
        <v>1032</v>
      </c>
      <c r="C36" s="206">
        <f>C37+C38</f>
        <v>34506.300000000003</v>
      </c>
      <c r="D36" s="185">
        <f>D37+D38</f>
        <v>42790.8</v>
      </c>
      <c r="E36" s="617">
        <f>E37+E38</f>
        <v>42462</v>
      </c>
      <c r="F36" s="189">
        <f>SUM(G36:J36)</f>
        <v>45475.232000000004</v>
      </c>
      <c r="G36" s="165">
        <f>G37+G38+G39</f>
        <v>28975.823200000003</v>
      </c>
      <c r="H36" s="165">
        <f>H37+H38+H39</f>
        <v>5842.165</v>
      </c>
      <c r="I36" s="165">
        <f>I37+I38+I39</f>
        <v>5139.6036000000004</v>
      </c>
      <c r="J36" s="165">
        <f>J37+J38+J39</f>
        <v>5517.6402000000007</v>
      </c>
      <c r="K36" s="664"/>
      <c r="L36" s="697"/>
      <c r="M36" s="698"/>
      <c r="N36" s="688"/>
      <c r="O36" s="688"/>
      <c r="P36" s="688"/>
      <c r="Q36" s="688"/>
      <c r="R36" s="672"/>
      <c r="S36" s="672"/>
      <c r="T36" s="672"/>
      <c r="U36" s="672"/>
      <c r="V36" s="672"/>
      <c r="W36" s="672"/>
      <c r="X36" s="672"/>
      <c r="Y36" s="672"/>
      <c r="Z36" s="672"/>
      <c r="AA36" s="672"/>
      <c r="AB36" s="672"/>
      <c r="AC36" s="672"/>
      <c r="AD36" s="672"/>
      <c r="AE36" s="672"/>
      <c r="AF36" s="672"/>
      <c r="AG36" s="672"/>
      <c r="AH36" s="672"/>
      <c r="AI36" s="672"/>
      <c r="AJ36" s="672"/>
      <c r="AK36" s="672"/>
      <c r="AL36" s="672"/>
      <c r="AM36" s="672"/>
      <c r="AN36" s="672"/>
      <c r="AO36" s="672"/>
      <c r="AP36" s="672"/>
      <c r="AQ36" s="672"/>
      <c r="AR36" s="672"/>
    </row>
    <row r="37" spans="1:44" ht="48.75" customHeight="1">
      <c r="A37" s="282" t="s">
        <v>573</v>
      </c>
      <c r="B37" s="152" t="s">
        <v>570</v>
      </c>
      <c r="C37" s="206">
        <v>30465.200000000001</v>
      </c>
      <c r="D37" s="185">
        <v>37218</v>
      </c>
      <c r="E37" s="617">
        <v>37077.300000000003</v>
      </c>
      <c r="F37" s="189">
        <f t="shared" si="5"/>
        <v>39545.747800000005</v>
      </c>
      <c r="G37" s="165">
        <f>(25371.9*1.086)-695-10</f>
        <v>26848.883400000002</v>
      </c>
      <c r="H37" s="165">
        <f>(4126.4*1.086)-13.1</f>
        <v>4468.1704</v>
      </c>
      <c r="I37" s="165">
        <f>(4064.1*1.086)-2.1</f>
        <v>4411.5126</v>
      </c>
      <c r="J37" s="165">
        <f>3514.9*1.086</f>
        <v>3817.1814000000004</v>
      </c>
      <c r="K37" s="647"/>
      <c r="L37" s="699"/>
      <c r="M37" s="698"/>
      <c r="N37" s="672"/>
      <c r="O37" s="672"/>
      <c r="P37" s="672"/>
      <c r="Q37" s="672"/>
      <c r="R37" s="672"/>
      <c r="S37" s="672"/>
      <c r="T37" s="672"/>
      <c r="U37" s="672"/>
      <c r="V37" s="672"/>
      <c r="W37" s="672"/>
      <c r="X37" s="672"/>
      <c r="Y37" s="672"/>
      <c r="Z37" s="672"/>
      <c r="AA37" s="672"/>
      <c r="AB37" s="672"/>
      <c r="AC37" s="672"/>
      <c r="AD37" s="672"/>
      <c r="AE37" s="672"/>
      <c r="AF37" s="672"/>
      <c r="AG37" s="672"/>
      <c r="AH37" s="672"/>
      <c r="AI37" s="672"/>
      <c r="AJ37" s="672"/>
      <c r="AK37" s="672"/>
      <c r="AL37" s="672"/>
      <c r="AM37" s="672"/>
      <c r="AN37" s="672"/>
      <c r="AO37" s="672"/>
      <c r="AP37" s="672"/>
      <c r="AQ37" s="672"/>
      <c r="AR37" s="672"/>
    </row>
    <row r="38" spans="1:44" ht="45.75" customHeight="1">
      <c r="A38" s="282" t="s">
        <v>572</v>
      </c>
      <c r="B38" s="152" t="s">
        <v>571</v>
      </c>
      <c r="C38" s="206">
        <v>4041.1</v>
      </c>
      <c r="D38" s="185">
        <v>5572.8</v>
      </c>
      <c r="E38" s="185">
        <v>5384.7</v>
      </c>
      <c r="F38" s="189">
        <f t="shared" si="5"/>
        <v>5907.3842000000004</v>
      </c>
      <c r="G38" s="165">
        <f>1949.3*1.086</f>
        <v>2116.9398000000001</v>
      </c>
      <c r="H38" s="165">
        <f>(1201.1*1.086)-205.1+264.7</f>
        <v>1363.9946000000002</v>
      </c>
      <c r="I38" s="165">
        <f>668.5*1.086</f>
        <v>725.9910000000001</v>
      </c>
      <c r="J38" s="165">
        <f>1565.8*1.086</f>
        <v>1700.4588000000001</v>
      </c>
      <c r="K38" s="647"/>
      <c r="L38" s="699"/>
      <c r="M38" s="698"/>
      <c r="N38" s="672"/>
      <c r="O38" s="672"/>
      <c r="P38" s="672"/>
      <c r="Q38" s="672"/>
      <c r="R38" s="672"/>
      <c r="S38" s="672"/>
      <c r="T38" s="672"/>
      <c r="U38" s="672"/>
      <c r="V38" s="672"/>
      <c r="W38" s="672"/>
      <c r="X38" s="672"/>
      <c r="Y38" s="672"/>
      <c r="Z38" s="672"/>
      <c r="AA38" s="672"/>
      <c r="AB38" s="672"/>
      <c r="AC38" s="672"/>
      <c r="AD38" s="672"/>
      <c r="AE38" s="672"/>
      <c r="AF38" s="672"/>
      <c r="AG38" s="672"/>
      <c r="AH38" s="672"/>
      <c r="AI38" s="672"/>
      <c r="AJ38" s="672"/>
      <c r="AK38" s="672"/>
      <c r="AL38" s="672"/>
      <c r="AM38" s="672"/>
      <c r="AN38" s="672"/>
      <c r="AO38" s="672"/>
      <c r="AP38" s="672"/>
      <c r="AQ38" s="672"/>
      <c r="AR38" s="672"/>
    </row>
    <row r="39" spans="1:44" ht="33.75" customHeight="1">
      <c r="A39" s="282" t="s">
        <v>545</v>
      </c>
      <c r="B39" s="152" t="s">
        <v>768</v>
      </c>
      <c r="C39" s="206"/>
      <c r="D39" s="185"/>
      <c r="E39" s="185"/>
      <c r="F39" s="189">
        <f t="shared" si="5"/>
        <v>22.1</v>
      </c>
      <c r="G39" s="165">
        <v>10</v>
      </c>
      <c r="H39" s="165">
        <v>10</v>
      </c>
      <c r="I39" s="165">
        <v>2.1</v>
      </c>
      <c r="J39" s="165"/>
      <c r="K39" s="647"/>
      <c r="L39" s="699"/>
      <c r="M39" s="698"/>
      <c r="N39" s="672"/>
      <c r="O39" s="672"/>
      <c r="P39" s="672"/>
      <c r="Q39" s="672"/>
      <c r="R39" s="672"/>
      <c r="S39" s="672"/>
      <c r="T39" s="672"/>
      <c r="U39" s="672"/>
      <c r="V39" s="672"/>
      <c r="W39" s="672"/>
      <c r="X39" s="672"/>
      <c r="Y39" s="672"/>
      <c r="Z39" s="672"/>
      <c r="AA39" s="672"/>
      <c r="AB39" s="672"/>
      <c r="AC39" s="672"/>
      <c r="AD39" s="672"/>
      <c r="AE39" s="672"/>
      <c r="AF39" s="672"/>
      <c r="AG39" s="672"/>
      <c r="AH39" s="672"/>
      <c r="AI39" s="672"/>
      <c r="AJ39" s="672"/>
      <c r="AK39" s="672"/>
      <c r="AL39" s="672"/>
      <c r="AM39" s="672"/>
      <c r="AN39" s="672"/>
      <c r="AO39" s="672"/>
      <c r="AP39" s="672"/>
      <c r="AQ39" s="672"/>
      <c r="AR39" s="672"/>
    </row>
    <row r="40" spans="1:44" ht="54.75" customHeight="1">
      <c r="A40" s="232" t="s">
        <v>763</v>
      </c>
      <c r="B40" s="152">
        <v>1033</v>
      </c>
      <c r="C40" s="206">
        <v>0</v>
      </c>
      <c r="D40" s="185">
        <v>0</v>
      </c>
      <c r="E40" s="185">
        <v>102.6</v>
      </c>
      <c r="F40" s="189">
        <f t="shared" si="5"/>
        <v>86.6</v>
      </c>
      <c r="G40" s="206">
        <v>0</v>
      </c>
      <c r="H40" s="206">
        <v>86.6</v>
      </c>
      <c r="I40" s="206">
        <v>0</v>
      </c>
      <c r="J40" s="206">
        <v>0</v>
      </c>
      <c r="K40" s="650"/>
      <c r="L40" s="681"/>
      <c r="M40" s="672"/>
      <c r="N40" s="672"/>
      <c r="O40" s="672"/>
      <c r="P40" s="672"/>
      <c r="Q40" s="672"/>
      <c r="R40" s="672"/>
      <c r="S40" s="672"/>
      <c r="T40" s="672"/>
      <c r="U40" s="672"/>
      <c r="V40" s="672"/>
      <c r="W40" s="672"/>
      <c r="X40" s="672"/>
      <c r="Y40" s="672"/>
      <c r="Z40" s="672"/>
      <c r="AA40" s="672"/>
      <c r="AB40" s="672"/>
      <c r="AC40" s="672"/>
      <c r="AD40" s="672"/>
      <c r="AE40" s="672"/>
      <c r="AF40" s="672"/>
      <c r="AG40" s="672"/>
      <c r="AH40" s="672"/>
      <c r="AI40" s="672"/>
      <c r="AJ40" s="672"/>
      <c r="AK40" s="672"/>
      <c r="AL40" s="672"/>
      <c r="AM40" s="672"/>
      <c r="AN40" s="672"/>
      <c r="AO40" s="672"/>
      <c r="AP40" s="672"/>
      <c r="AQ40" s="672"/>
      <c r="AR40" s="672"/>
    </row>
    <row r="41" spans="1:44" ht="44.25" customHeight="1">
      <c r="A41" s="232" t="s">
        <v>764</v>
      </c>
      <c r="B41" s="152">
        <v>1034</v>
      </c>
      <c r="C41" s="206">
        <v>0</v>
      </c>
      <c r="D41" s="185">
        <v>0</v>
      </c>
      <c r="E41" s="185">
        <v>12.5</v>
      </c>
      <c r="F41" s="189">
        <f t="shared" si="5"/>
        <v>12.5</v>
      </c>
      <c r="G41" s="206">
        <v>0</v>
      </c>
      <c r="H41" s="206">
        <v>12.5</v>
      </c>
      <c r="I41" s="206">
        <v>0</v>
      </c>
      <c r="J41" s="206">
        <v>0</v>
      </c>
      <c r="K41" s="650"/>
      <c r="L41" s="681"/>
      <c r="M41" s="672"/>
      <c r="N41" s="672"/>
      <c r="O41" s="672"/>
      <c r="P41" s="672"/>
      <c r="Q41" s="672"/>
      <c r="R41" s="672"/>
      <c r="S41" s="672"/>
      <c r="T41" s="672"/>
      <c r="U41" s="672"/>
      <c r="V41" s="672"/>
      <c r="W41" s="672"/>
      <c r="X41" s="672"/>
      <c r="Y41" s="672"/>
      <c r="Z41" s="672"/>
      <c r="AA41" s="672"/>
      <c r="AB41" s="672"/>
      <c r="AC41" s="672"/>
      <c r="AD41" s="672"/>
      <c r="AE41" s="672"/>
      <c r="AF41" s="672"/>
      <c r="AG41" s="672"/>
      <c r="AH41" s="672"/>
      <c r="AI41" s="672"/>
      <c r="AJ41" s="672"/>
      <c r="AK41" s="672"/>
      <c r="AL41" s="672"/>
      <c r="AM41" s="672"/>
      <c r="AN41" s="672"/>
      <c r="AO41" s="672"/>
      <c r="AP41" s="672"/>
      <c r="AQ41" s="672"/>
      <c r="AR41" s="672"/>
    </row>
    <row r="42" spans="1:44" ht="67.5" customHeight="1">
      <c r="A42" s="232" t="s">
        <v>562</v>
      </c>
      <c r="B42" s="152">
        <v>1035</v>
      </c>
      <c r="C42" s="206">
        <v>6809.2</v>
      </c>
      <c r="D42" s="185">
        <v>3000</v>
      </c>
      <c r="E42" s="185">
        <v>3000</v>
      </c>
      <c r="F42" s="189">
        <f>SUM(G42:J42)</f>
        <v>2200</v>
      </c>
      <c r="G42" s="183">
        <v>550</v>
      </c>
      <c r="H42" s="183">
        <v>550</v>
      </c>
      <c r="I42" s="183">
        <v>550</v>
      </c>
      <c r="J42" s="183">
        <v>550</v>
      </c>
      <c r="K42" s="650"/>
      <c r="L42" s="681"/>
      <c r="M42" s="672"/>
      <c r="N42" s="672"/>
      <c r="O42" s="672"/>
      <c r="P42" s="672"/>
      <c r="Q42" s="672"/>
      <c r="R42" s="672"/>
      <c r="S42" s="672"/>
      <c r="T42" s="672"/>
      <c r="U42" s="672"/>
      <c r="V42" s="672"/>
      <c r="W42" s="672"/>
      <c r="X42" s="672"/>
      <c r="Y42" s="672"/>
      <c r="Z42" s="672"/>
      <c r="AA42" s="672"/>
      <c r="AB42" s="672"/>
      <c r="AC42" s="672"/>
      <c r="AD42" s="672"/>
      <c r="AE42" s="672"/>
      <c r="AF42" s="672"/>
      <c r="AG42" s="672"/>
      <c r="AH42" s="672"/>
      <c r="AI42" s="672"/>
      <c r="AJ42" s="672"/>
      <c r="AK42" s="672"/>
      <c r="AL42" s="672"/>
      <c r="AM42" s="672"/>
      <c r="AN42" s="672"/>
      <c r="AO42" s="672"/>
      <c r="AP42" s="672"/>
      <c r="AQ42" s="672"/>
      <c r="AR42" s="672"/>
    </row>
    <row r="43" spans="1:44" ht="36.75" customHeight="1">
      <c r="A43" s="552" t="s">
        <v>742</v>
      </c>
      <c r="B43" s="152">
        <v>1036</v>
      </c>
      <c r="C43" s="206">
        <v>70.8</v>
      </c>
      <c r="D43" s="185">
        <v>0</v>
      </c>
      <c r="E43" s="185">
        <v>258</v>
      </c>
      <c r="F43" s="189">
        <f>SUM(G43:J43)</f>
        <v>283.46040000000005</v>
      </c>
      <c r="G43" s="183">
        <f>146*1.086</f>
        <v>158.55600000000001</v>
      </c>
      <c r="H43" s="183">
        <f>27.7*1.086</f>
        <v>30.0822</v>
      </c>
      <c r="I43" s="183">
        <f>17.7*1.086</f>
        <v>19.222200000000001</v>
      </c>
      <c r="J43" s="183">
        <f>72.3+3.3</f>
        <v>75.599999999999994</v>
      </c>
      <c r="K43" s="663"/>
      <c r="L43" s="674"/>
      <c r="M43" s="672"/>
      <c r="N43" s="672"/>
      <c r="O43" s="672"/>
      <c r="P43" s="672"/>
      <c r="Q43" s="672"/>
      <c r="R43" s="672"/>
      <c r="S43" s="672"/>
      <c r="T43" s="672"/>
      <c r="U43" s="672"/>
      <c r="V43" s="672"/>
      <c r="W43" s="672"/>
      <c r="X43" s="672"/>
      <c r="Y43" s="672"/>
      <c r="Z43" s="672"/>
      <c r="AA43" s="672"/>
      <c r="AB43" s="672"/>
      <c r="AC43" s="672"/>
      <c r="AD43" s="672"/>
      <c r="AE43" s="672"/>
      <c r="AF43" s="672"/>
      <c r="AG43" s="672"/>
      <c r="AH43" s="672"/>
      <c r="AI43" s="672"/>
      <c r="AJ43" s="672"/>
      <c r="AK43" s="672"/>
      <c r="AL43" s="672"/>
      <c r="AM43" s="672"/>
      <c r="AN43" s="672"/>
      <c r="AO43" s="672"/>
      <c r="AP43" s="672"/>
      <c r="AQ43" s="672"/>
      <c r="AR43" s="672"/>
    </row>
    <row r="44" spans="1:44" ht="36.75" customHeight="1">
      <c r="A44" s="132" t="s">
        <v>357</v>
      </c>
      <c r="B44" s="119">
        <v>1040</v>
      </c>
      <c r="C44" s="186">
        <f>SUM(C45:C64,C66)</f>
        <v>-2188.9</v>
      </c>
      <c r="D44" s="186">
        <f>SUM(D45:D64,D66)</f>
        <v>-3296.5</v>
      </c>
      <c r="E44" s="186">
        <f>SUM(E45:E64,E66)</f>
        <v>-8402.9</v>
      </c>
      <c r="F44" s="225">
        <f>SUM(G44:J44)</f>
        <v>-10371.400000000001</v>
      </c>
      <c r="G44" s="187">
        <f>SUM(G45:G64,G66)</f>
        <v>-2351</v>
      </c>
      <c r="H44" s="187">
        <f>SUM(H45:H64,H66)</f>
        <v>-3001</v>
      </c>
      <c r="I44" s="187">
        <f>SUM(I45:I64,I66)</f>
        <v>-2930.6</v>
      </c>
      <c r="J44" s="187">
        <f>SUM(J45:J64,J66)</f>
        <v>-2088.8000000000002</v>
      </c>
      <c r="K44" s="650"/>
      <c r="L44" s="681"/>
      <c r="M44" s="683"/>
      <c r="N44" s="672"/>
      <c r="O44" s="672"/>
      <c r="P44" s="672"/>
      <c r="Q44" s="672"/>
      <c r="R44" s="672"/>
      <c r="S44" s="672"/>
      <c r="T44" s="672"/>
      <c r="U44" s="672"/>
      <c r="V44" s="672"/>
      <c r="W44" s="672"/>
      <c r="X44" s="672"/>
      <c r="Y44" s="672"/>
      <c r="Z44" s="672"/>
      <c r="AA44" s="672"/>
      <c r="AB44" s="672"/>
      <c r="AC44" s="672"/>
      <c r="AD44" s="672"/>
      <c r="AE44" s="672"/>
      <c r="AF44" s="672"/>
      <c r="AG44" s="672"/>
      <c r="AH44" s="672"/>
      <c r="AI44" s="672"/>
      <c r="AJ44" s="672"/>
      <c r="AK44" s="672"/>
      <c r="AL44" s="672"/>
      <c r="AM44" s="672"/>
      <c r="AN44" s="672"/>
      <c r="AO44" s="672"/>
      <c r="AP44" s="672"/>
      <c r="AQ44" s="672"/>
      <c r="AR44" s="672"/>
    </row>
    <row r="45" spans="1:44" ht="54.75" customHeight="1">
      <c r="A45" s="8" t="s">
        <v>372</v>
      </c>
      <c r="B45" s="99">
        <v>1041</v>
      </c>
      <c r="C45" s="81" t="s">
        <v>218</v>
      </c>
      <c r="D45" s="81" t="s">
        <v>218</v>
      </c>
      <c r="E45" s="81" t="s">
        <v>218</v>
      </c>
      <c r="F45" s="180" t="s">
        <v>218</v>
      </c>
      <c r="G45" s="183" t="s">
        <v>218</v>
      </c>
      <c r="H45" s="183" t="s">
        <v>218</v>
      </c>
      <c r="I45" s="183" t="s">
        <v>218</v>
      </c>
      <c r="J45" s="183" t="s">
        <v>218</v>
      </c>
      <c r="K45" s="665"/>
      <c r="L45" s="700"/>
      <c r="M45" s="672"/>
      <c r="N45" s="672"/>
      <c r="O45" s="672"/>
      <c r="P45" s="672"/>
      <c r="Q45" s="672"/>
      <c r="R45" s="672"/>
      <c r="S45" s="672"/>
      <c r="T45" s="672"/>
      <c r="U45" s="672"/>
      <c r="V45" s="672"/>
      <c r="W45" s="672"/>
      <c r="X45" s="672"/>
      <c r="Y45" s="672"/>
      <c r="Z45" s="672"/>
      <c r="AA45" s="672"/>
      <c r="AB45" s="672"/>
      <c r="AC45" s="672"/>
      <c r="AD45" s="672"/>
      <c r="AE45" s="672"/>
      <c r="AF45" s="672"/>
      <c r="AG45" s="672"/>
      <c r="AH45" s="672"/>
      <c r="AI45" s="672"/>
      <c r="AJ45" s="672"/>
      <c r="AK45" s="672"/>
      <c r="AL45" s="672"/>
      <c r="AM45" s="672"/>
      <c r="AN45" s="672"/>
      <c r="AO45" s="672"/>
      <c r="AP45" s="672"/>
      <c r="AQ45" s="672"/>
      <c r="AR45" s="672"/>
    </row>
    <row r="46" spans="1:44" ht="39.75" customHeight="1">
      <c r="A46" s="8" t="s">
        <v>373</v>
      </c>
      <c r="B46" s="99">
        <v>1042</v>
      </c>
      <c r="C46" s="81" t="s">
        <v>218</v>
      </c>
      <c r="D46" s="81" t="s">
        <v>218</v>
      </c>
      <c r="E46" s="81" t="s">
        <v>218</v>
      </c>
      <c r="F46" s="180" t="s">
        <v>218</v>
      </c>
      <c r="G46" s="183" t="s">
        <v>218</v>
      </c>
      <c r="H46" s="183" t="s">
        <v>218</v>
      </c>
      <c r="I46" s="183" t="s">
        <v>218</v>
      </c>
      <c r="J46" s="183" t="s">
        <v>218</v>
      </c>
      <c r="K46" s="665"/>
      <c r="L46" s="700"/>
      <c r="M46" s="672"/>
      <c r="N46" s="672"/>
      <c r="O46" s="672"/>
      <c r="P46" s="672"/>
      <c r="Q46" s="672"/>
      <c r="R46" s="672"/>
      <c r="S46" s="672"/>
      <c r="T46" s="672"/>
      <c r="U46" s="672"/>
      <c r="V46" s="672"/>
      <c r="W46" s="672"/>
      <c r="X46" s="672"/>
      <c r="Y46" s="672"/>
      <c r="Z46" s="672"/>
      <c r="AA46" s="672"/>
      <c r="AB46" s="672"/>
      <c r="AC46" s="672"/>
      <c r="AD46" s="672"/>
      <c r="AE46" s="672"/>
      <c r="AF46" s="672"/>
      <c r="AG46" s="672"/>
      <c r="AH46" s="672"/>
      <c r="AI46" s="672"/>
      <c r="AJ46" s="672"/>
      <c r="AK46" s="672"/>
      <c r="AL46" s="672"/>
      <c r="AM46" s="672"/>
      <c r="AN46" s="672"/>
      <c r="AO46" s="672"/>
      <c r="AP46" s="672"/>
      <c r="AQ46" s="672"/>
      <c r="AR46" s="672"/>
    </row>
    <row r="47" spans="1:44" ht="35.25" customHeight="1">
      <c r="A47" s="8" t="s">
        <v>374</v>
      </c>
      <c r="B47" s="99">
        <v>1043</v>
      </c>
      <c r="C47" s="81" t="s">
        <v>218</v>
      </c>
      <c r="D47" s="81" t="s">
        <v>218</v>
      </c>
      <c r="E47" s="81" t="s">
        <v>218</v>
      </c>
      <c r="F47" s="180" t="s">
        <v>218</v>
      </c>
      <c r="G47" s="183" t="s">
        <v>218</v>
      </c>
      <c r="H47" s="183" t="s">
        <v>218</v>
      </c>
      <c r="I47" s="183" t="s">
        <v>218</v>
      </c>
      <c r="J47" s="183" t="s">
        <v>218</v>
      </c>
      <c r="K47" s="665"/>
      <c r="L47" s="700"/>
      <c r="M47" s="672"/>
      <c r="N47" s="672"/>
      <c r="O47" s="672"/>
      <c r="P47" s="672"/>
      <c r="Q47" s="672"/>
      <c r="R47" s="672"/>
      <c r="S47" s="672"/>
      <c r="T47" s="672"/>
      <c r="U47" s="672"/>
      <c r="V47" s="672"/>
      <c r="W47" s="672"/>
      <c r="X47" s="672"/>
      <c r="Y47" s="672"/>
      <c r="Z47" s="672"/>
      <c r="AA47" s="672"/>
      <c r="AB47" s="672"/>
      <c r="AC47" s="672"/>
      <c r="AD47" s="672"/>
      <c r="AE47" s="672"/>
      <c r="AF47" s="672"/>
      <c r="AG47" s="672"/>
      <c r="AH47" s="672"/>
      <c r="AI47" s="672"/>
      <c r="AJ47" s="672"/>
      <c r="AK47" s="672"/>
      <c r="AL47" s="672"/>
      <c r="AM47" s="672"/>
      <c r="AN47" s="672"/>
      <c r="AO47" s="672"/>
      <c r="AP47" s="672"/>
      <c r="AQ47" s="672"/>
      <c r="AR47" s="672"/>
    </row>
    <row r="48" spans="1:44" ht="34.5" customHeight="1">
      <c r="A48" s="8" t="s">
        <v>375</v>
      </c>
      <c r="B48" s="99">
        <v>1044</v>
      </c>
      <c r="C48" s="81" t="s">
        <v>218</v>
      </c>
      <c r="D48" s="81" t="s">
        <v>218</v>
      </c>
      <c r="E48" s="81" t="s">
        <v>218</v>
      </c>
      <c r="F48" s="180" t="s">
        <v>218</v>
      </c>
      <c r="G48" s="183" t="s">
        <v>218</v>
      </c>
      <c r="H48" s="183" t="s">
        <v>218</v>
      </c>
      <c r="I48" s="183" t="s">
        <v>218</v>
      </c>
      <c r="J48" s="183" t="s">
        <v>218</v>
      </c>
      <c r="K48" s="665"/>
      <c r="L48" s="700"/>
      <c r="M48" s="672"/>
      <c r="N48" s="672"/>
      <c r="O48" s="672"/>
      <c r="P48" s="672"/>
      <c r="Q48" s="672"/>
      <c r="R48" s="672"/>
      <c r="S48" s="672"/>
      <c r="T48" s="672"/>
      <c r="U48" s="672"/>
      <c r="V48" s="672"/>
      <c r="W48" s="672"/>
      <c r="X48" s="672"/>
      <c r="Y48" s="672"/>
      <c r="Z48" s="672"/>
      <c r="AA48" s="672"/>
      <c r="AB48" s="672"/>
      <c r="AC48" s="672"/>
      <c r="AD48" s="672"/>
      <c r="AE48" s="672"/>
      <c r="AF48" s="672"/>
      <c r="AG48" s="672"/>
      <c r="AH48" s="672"/>
      <c r="AI48" s="672"/>
      <c r="AJ48" s="672"/>
      <c r="AK48" s="672"/>
      <c r="AL48" s="672"/>
      <c r="AM48" s="672"/>
      <c r="AN48" s="672"/>
      <c r="AO48" s="672"/>
      <c r="AP48" s="672"/>
      <c r="AQ48" s="672"/>
      <c r="AR48" s="672"/>
    </row>
    <row r="49" spans="1:44" ht="37.5" customHeight="1">
      <c r="A49" s="8" t="s">
        <v>376</v>
      </c>
      <c r="B49" s="99">
        <v>1045</v>
      </c>
      <c r="C49" s="81" t="s">
        <v>218</v>
      </c>
      <c r="D49" s="81" t="s">
        <v>218</v>
      </c>
      <c r="E49" s="81" t="s">
        <v>218</v>
      </c>
      <c r="F49" s="180" t="s">
        <v>218</v>
      </c>
      <c r="G49" s="183" t="s">
        <v>218</v>
      </c>
      <c r="H49" s="183" t="s">
        <v>218</v>
      </c>
      <c r="I49" s="183" t="s">
        <v>218</v>
      </c>
      <c r="J49" s="183" t="s">
        <v>218</v>
      </c>
      <c r="K49" s="665"/>
      <c r="L49" s="700"/>
      <c r="M49" s="672">
        <f>2621.5/4</f>
        <v>655.375</v>
      </c>
      <c r="N49" s="672"/>
      <c r="O49" s="672"/>
      <c r="P49" s="672"/>
      <c r="Q49" s="672"/>
      <c r="R49" s="672"/>
      <c r="S49" s="672"/>
      <c r="T49" s="672"/>
      <c r="U49" s="672"/>
      <c r="V49" s="672"/>
      <c r="W49" s="672"/>
      <c r="X49" s="672"/>
      <c r="Y49" s="672"/>
      <c r="Z49" s="672"/>
      <c r="AA49" s="672"/>
      <c r="AB49" s="672"/>
      <c r="AC49" s="672"/>
      <c r="AD49" s="672"/>
      <c r="AE49" s="672"/>
      <c r="AF49" s="672"/>
      <c r="AG49" s="672"/>
      <c r="AH49" s="672"/>
      <c r="AI49" s="672"/>
      <c r="AJ49" s="672"/>
      <c r="AK49" s="672"/>
      <c r="AL49" s="672"/>
      <c r="AM49" s="672"/>
      <c r="AN49" s="672"/>
      <c r="AO49" s="672"/>
      <c r="AP49" s="672"/>
      <c r="AQ49" s="672"/>
      <c r="AR49" s="672"/>
    </row>
    <row r="50" spans="1:44" ht="35.25" customHeight="1">
      <c r="A50" s="8" t="s">
        <v>378</v>
      </c>
      <c r="B50" s="99">
        <v>1046</v>
      </c>
      <c r="C50" s="196">
        <v>-0.9</v>
      </c>
      <c r="D50" s="196">
        <v>-2.5</v>
      </c>
      <c r="E50" s="196">
        <v>-2.5</v>
      </c>
      <c r="F50" s="180">
        <f>SUM(G50:J50)</f>
        <v>-2.5</v>
      </c>
      <c r="G50" s="183">
        <v>-1</v>
      </c>
      <c r="H50" s="183">
        <v>-1.5</v>
      </c>
      <c r="I50" s="183" t="s">
        <v>607</v>
      </c>
      <c r="J50" s="183" t="s">
        <v>607</v>
      </c>
      <c r="K50" s="665"/>
      <c r="L50" s="700"/>
      <c r="M50" s="672"/>
      <c r="N50" s="672"/>
      <c r="O50" s="672"/>
      <c r="P50" s="672"/>
      <c r="Q50" s="672"/>
      <c r="R50" s="672"/>
      <c r="S50" s="672"/>
      <c r="T50" s="672"/>
      <c r="U50" s="672"/>
      <c r="V50" s="672"/>
      <c r="W50" s="672"/>
      <c r="X50" s="672"/>
      <c r="Y50" s="672"/>
      <c r="Z50" s="672"/>
      <c r="AA50" s="672"/>
      <c r="AB50" s="672"/>
      <c r="AC50" s="672"/>
      <c r="AD50" s="672"/>
      <c r="AE50" s="672"/>
      <c r="AF50" s="672"/>
      <c r="AG50" s="672"/>
      <c r="AH50" s="672"/>
      <c r="AI50" s="672"/>
      <c r="AJ50" s="672"/>
      <c r="AK50" s="672"/>
      <c r="AL50" s="672"/>
      <c r="AM50" s="672"/>
      <c r="AN50" s="672"/>
      <c r="AO50" s="672"/>
      <c r="AP50" s="672"/>
      <c r="AQ50" s="672"/>
      <c r="AR50" s="672"/>
    </row>
    <row r="51" spans="1:44" ht="22.5" customHeight="1">
      <c r="A51" s="8" t="s">
        <v>377</v>
      </c>
      <c r="B51" s="99">
        <v>1047</v>
      </c>
      <c r="C51" s="243">
        <v>0</v>
      </c>
      <c r="D51" s="196">
        <v>0</v>
      </c>
      <c r="E51" s="196">
        <v>0</v>
      </c>
      <c r="F51" s="180">
        <f>SUM(G51:J51)</f>
        <v>0</v>
      </c>
      <c r="G51" s="183">
        <f>'[36]р.1046-1050'!$D$8</f>
        <v>0</v>
      </c>
      <c r="H51" s="183">
        <f>'[36]р.1046-1050'!$E$8</f>
        <v>0</v>
      </c>
      <c r="I51" s="183">
        <f>'[36]р.1046-1050'!$F$8</f>
        <v>0</v>
      </c>
      <c r="J51" s="183">
        <f>'[36]р.1046-1050'!$G$8</f>
        <v>0</v>
      </c>
      <c r="K51" s="665"/>
      <c r="L51" s="700"/>
      <c r="M51" s="672"/>
      <c r="N51" s="672"/>
      <c r="O51" s="672"/>
      <c r="P51" s="672"/>
      <c r="Q51" s="672"/>
      <c r="R51" s="672"/>
      <c r="S51" s="672"/>
      <c r="T51" s="672"/>
      <c r="U51" s="672"/>
      <c r="V51" s="672"/>
      <c r="W51" s="672"/>
      <c r="X51" s="672"/>
      <c r="Y51" s="672"/>
      <c r="Z51" s="672"/>
      <c r="AA51" s="672"/>
      <c r="AB51" s="672"/>
      <c r="AC51" s="672"/>
      <c r="AD51" s="672"/>
      <c r="AE51" s="672"/>
      <c r="AF51" s="672"/>
      <c r="AG51" s="672"/>
      <c r="AH51" s="672"/>
      <c r="AI51" s="672"/>
      <c r="AJ51" s="672"/>
      <c r="AK51" s="672"/>
      <c r="AL51" s="672"/>
      <c r="AM51" s="672"/>
      <c r="AN51" s="672"/>
      <c r="AO51" s="672"/>
      <c r="AP51" s="672"/>
      <c r="AQ51" s="672"/>
      <c r="AR51" s="672"/>
    </row>
    <row r="52" spans="1:44" ht="24" customHeight="1">
      <c r="A52" s="8" t="s">
        <v>361</v>
      </c>
      <c r="B52" s="99">
        <v>1048</v>
      </c>
      <c r="C52" s="188">
        <v>-1634.9</v>
      </c>
      <c r="D52" s="196">
        <v>-2433.8000000000002</v>
      </c>
      <c r="E52" s="196">
        <f>-(6656.8)</f>
        <v>-6656.8</v>
      </c>
      <c r="F52" s="180">
        <f>SUM(G52:J52)</f>
        <v>-8369.6</v>
      </c>
      <c r="G52" s="183">
        <f>-(1842.1+45)</f>
        <v>-1887.1</v>
      </c>
      <c r="H52" s="183">
        <f>-(2137.6+250+45)</f>
        <v>-2432.6</v>
      </c>
      <c r="I52" s="183">
        <f>-(2137.6+250-67.1+45)</f>
        <v>-2365.5</v>
      </c>
      <c r="J52" s="183">
        <f>-(2137.5-500+46.9)</f>
        <v>-1684.4</v>
      </c>
      <c r="K52" s="666"/>
      <c r="L52" s="700"/>
      <c r="M52" s="672">
        <f>27*3</f>
        <v>81</v>
      </c>
      <c r="N52" s="672">
        <f>52*9</f>
        <v>468</v>
      </c>
      <c r="O52" s="672">
        <f>SUM(M52:N52)</f>
        <v>549</v>
      </c>
      <c r="P52" s="672"/>
      <c r="Q52" s="672"/>
      <c r="R52" s="672"/>
      <c r="S52" s="672"/>
      <c r="T52" s="672"/>
      <c r="U52" s="672"/>
      <c r="V52" s="672"/>
      <c r="W52" s="672"/>
      <c r="X52" s="672"/>
      <c r="Y52" s="672"/>
      <c r="Z52" s="672"/>
      <c r="AA52" s="672"/>
      <c r="AB52" s="672"/>
      <c r="AC52" s="672"/>
      <c r="AD52" s="672"/>
      <c r="AE52" s="672"/>
      <c r="AF52" s="672"/>
      <c r="AG52" s="672"/>
      <c r="AH52" s="672"/>
      <c r="AI52" s="672"/>
      <c r="AJ52" s="672"/>
      <c r="AK52" s="672"/>
      <c r="AL52" s="672"/>
      <c r="AM52" s="672"/>
      <c r="AN52" s="672"/>
      <c r="AO52" s="672"/>
      <c r="AP52" s="672"/>
      <c r="AQ52" s="672"/>
      <c r="AR52" s="672"/>
    </row>
    <row r="53" spans="1:44" ht="33.75" customHeight="1">
      <c r="A53" s="8" t="s">
        <v>362</v>
      </c>
      <c r="B53" s="99">
        <v>1049</v>
      </c>
      <c r="C53" s="243">
        <v>-292.10000000000002</v>
      </c>
      <c r="D53" s="196">
        <v>-486.8</v>
      </c>
      <c r="E53" s="196">
        <f>-(1364.6)</f>
        <v>-1364.6</v>
      </c>
      <c r="F53" s="180">
        <f>SUM(G53:J53)</f>
        <v>-1622.6999999999998</v>
      </c>
      <c r="G53" s="183">
        <f>ROUND(G52*19.388%,1)</f>
        <v>-365.9</v>
      </c>
      <c r="H53" s="183">
        <f t="shared" ref="H53:J53" si="6">ROUND(H52*19.388%,1)</f>
        <v>-471.6</v>
      </c>
      <c r="I53" s="183">
        <f t="shared" si="6"/>
        <v>-458.6</v>
      </c>
      <c r="J53" s="183">
        <f t="shared" si="6"/>
        <v>-326.60000000000002</v>
      </c>
      <c r="K53" s="666"/>
      <c r="L53" s="700"/>
      <c r="M53" s="672">
        <v>2300</v>
      </c>
      <c r="N53" s="683">
        <f>M53+F52</f>
        <v>-6069.6</v>
      </c>
      <c r="O53" s="672"/>
      <c r="P53" s="672"/>
      <c r="Q53" s="672"/>
      <c r="R53" s="672"/>
      <c r="S53" s="672"/>
      <c r="T53" s="672"/>
      <c r="U53" s="672"/>
      <c r="V53" s="672"/>
      <c r="W53" s="672"/>
      <c r="X53" s="672"/>
      <c r="Y53" s="672"/>
      <c r="Z53" s="672"/>
      <c r="AA53" s="672"/>
      <c r="AB53" s="672"/>
      <c r="AC53" s="672"/>
      <c r="AD53" s="672"/>
      <c r="AE53" s="672"/>
      <c r="AF53" s="672"/>
      <c r="AG53" s="672"/>
      <c r="AH53" s="672"/>
      <c r="AI53" s="672"/>
      <c r="AJ53" s="672"/>
      <c r="AK53" s="672"/>
      <c r="AL53" s="672"/>
      <c r="AM53" s="672"/>
      <c r="AN53" s="672"/>
      <c r="AO53" s="672"/>
      <c r="AP53" s="672"/>
      <c r="AQ53" s="672"/>
      <c r="AR53" s="672"/>
    </row>
    <row r="54" spans="1:44" ht="44.25" customHeight="1">
      <c r="A54" s="8" t="s">
        <v>382</v>
      </c>
      <c r="B54" s="99">
        <v>1050</v>
      </c>
      <c r="C54" s="243">
        <v>-50.4</v>
      </c>
      <c r="D54" s="243">
        <v>-72.099999999999994</v>
      </c>
      <c r="E54" s="243">
        <v>-72.3</v>
      </c>
      <c r="F54" s="180">
        <f>SUM(G54:J54)</f>
        <v>-85.499999999999986</v>
      </c>
      <c r="G54" s="183">
        <f>-(21.4)</f>
        <v>-21.4</v>
      </c>
      <c r="H54" s="183">
        <f t="shared" ref="H54:I54" si="7">-(21.4)</f>
        <v>-21.4</v>
      </c>
      <c r="I54" s="183">
        <f t="shared" si="7"/>
        <v>-21.4</v>
      </c>
      <c r="J54" s="183">
        <f>-(21.3)</f>
        <v>-21.3</v>
      </c>
      <c r="K54" s="667"/>
      <c r="L54" s="700"/>
      <c r="M54" s="672">
        <f>M53/4</f>
        <v>575</v>
      </c>
      <c r="N54" s="672"/>
      <c r="O54" s="672"/>
      <c r="P54" s="672"/>
      <c r="Q54" s="672"/>
      <c r="R54" s="672"/>
      <c r="S54" s="672"/>
      <c r="T54" s="672"/>
      <c r="U54" s="672"/>
      <c r="V54" s="672"/>
      <c r="W54" s="672"/>
      <c r="X54" s="672"/>
      <c r="Y54" s="672"/>
      <c r="Z54" s="672"/>
      <c r="AA54" s="672"/>
      <c r="AB54" s="672"/>
      <c r="AC54" s="672"/>
      <c r="AD54" s="672"/>
      <c r="AE54" s="672"/>
      <c r="AF54" s="672"/>
      <c r="AG54" s="672"/>
      <c r="AH54" s="672"/>
      <c r="AI54" s="672"/>
      <c r="AJ54" s="672"/>
      <c r="AK54" s="672"/>
      <c r="AL54" s="672"/>
      <c r="AM54" s="672"/>
      <c r="AN54" s="672"/>
      <c r="AO54" s="672"/>
      <c r="AP54" s="672"/>
      <c r="AQ54" s="672"/>
      <c r="AR54" s="672"/>
    </row>
    <row r="55" spans="1:44" ht="67.5" customHeight="1">
      <c r="A55" s="8" t="s">
        <v>391</v>
      </c>
      <c r="B55" s="99">
        <v>1051</v>
      </c>
      <c r="C55" s="243" t="s">
        <v>218</v>
      </c>
      <c r="D55" s="243" t="s">
        <v>218</v>
      </c>
      <c r="E55" s="243" t="s">
        <v>218</v>
      </c>
      <c r="F55" s="180" t="s">
        <v>218</v>
      </c>
      <c r="G55" s="183" t="s">
        <v>218</v>
      </c>
      <c r="H55" s="183" t="s">
        <v>218</v>
      </c>
      <c r="I55" s="183" t="s">
        <v>218</v>
      </c>
      <c r="J55" s="183" t="s">
        <v>218</v>
      </c>
      <c r="K55" s="650"/>
      <c r="L55" s="681"/>
      <c r="M55" s="672"/>
      <c r="N55" s="672"/>
      <c r="O55" s="672"/>
      <c r="P55" s="672"/>
      <c r="Q55" s="672"/>
      <c r="R55" s="672"/>
      <c r="S55" s="672"/>
      <c r="T55" s="672"/>
      <c r="U55" s="672"/>
      <c r="V55" s="672"/>
      <c r="W55" s="672"/>
      <c r="X55" s="672"/>
      <c r="Y55" s="672"/>
      <c r="Z55" s="672"/>
      <c r="AA55" s="672"/>
      <c r="AB55" s="672"/>
      <c r="AC55" s="672"/>
      <c r="AD55" s="672"/>
      <c r="AE55" s="672"/>
      <c r="AF55" s="672"/>
      <c r="AG55" s="672"/>
      <c r="AH55" s="672"/>
      <c r="AI55" s="672"/>
      <c r="AJ55" s="672"/>
      <c r="AK55" s="672"/>
      <c r="AL55" s="672"/>
      <c r="AM55" s="672"/>
      <c r="AN55" s="672"/>
      <c r="AO55" s="672"/>
      <c r="AP55" s="672"/>
      <c r="AQ55" s="672"/>
      <c r="AR55" s="672"/>
    </row>
    <row r="56" spans="1:44" ht="55.5" customHeight="1">
      <c r="A56" s="8" t="s">
        <v>535</v>
      </c>
      <c r="B56" s="99">
        <v>1052</v>
      </c>
      <c r="C56" s="243" t="s">
        <v>218</v>
      </c>
      <c r="D56" s="243" t="s">
        <v>218</v>
      </c>
      <c r="E56" s="243" t="s">
        <v>218</v>
      </c>
      <c r="F56" s="180" t="s">
        <v>218</v>
      </c>
      <c r="G56" s="183" t="s">
        <v>218</v>
      </c>
      <c r="H56" s="183" t="s">
        <v>218</v>
      </c>
      <c r="I56" s="183" t="s">
        <v>218</v>
      </c>
      <c r="J56" s="183" t="s">
        <v>218</v>
      </c>
      <c r="K56" s="650"/>
      <c r="L56" s="681"/>
      <c r="M56" s="672"/>
      <c r="N56" s="672"/>
      <c r="O56" s="672"/>
      <c r="P56" s="672"/>
      <c r="Q56" s="672"/>
      <c r="R56" s="672"/>
      <c r="S56" s="672"/>
      <c r="T56" s="672"/>
      <c r="U56" s="672"/>
      <c r="V56" s="672"/>
      <c r="W56" s="672"/>
      <c r="X56" s="672"/>
      <c r="Y56" s="672"/>
      <c r="Z56" s="672"/>
      <c r="AA56" s="672"/>
      <c r="AB56" s="672"/>
      <c r="AC56" s="672"/>
      <c r="AD56" s="672"/>
      <c r="AE56" s="672"/>
      <c r="AF56" s="672"/>
      <c r="AG56" s="672"/>
      <c r="AH56" s="672"/>
      <c r="AI56" s="672"/>
      <c r="AJ56" s="672"/>
      <c r="AK56" s="672"/>
      <c r="AL56" s="672"/>
      <c r="AM56" s="672"/>
      <c r="AN56" s="672"/>
      <c r="AO56" s="672"/>
      <c r="AP56" s="672"/>
      <c r="AQ56" s="672"/>
      <c r="AR56" s="672"/>
    </row>
    <row r="57" spans="1:44" ht="55.5" customHeight="1">
      <c r="A57" s="8" t="s">
        <v>379</v>
      </c>
      <c r="B57" s="99">
        <v>1053</v>
      </c>
      <c r="C57" s="243" t="s">
        <v>218</v>
      </c>
      <c r="D57" s="243" t="s">
        <v>218</v>
      </c>
      <c r="E57" s="243" t="s">
        <v>218</v>
      </c>
      <c r="F57" s="180" t="s">
        <v>218</v>
      </c>
      <c r="G57" s="183" t="s">
        <v>218</v>
      </c>
      <c r="H57" s="183" t="s">
        <v>218</v>
      </c>
      <c r="I57" s="183" t="s">
        <v>218</v>
      </c>
      <c r="J57" s="183" t="s">
        <v>218</v>
      </c>
      <c r="K57" s="650"/>
      <c r="L57" s="681"/>
      <c r="M57" s="672"/>
      <c r="N57" s="672"/>
      <c r="O57" s="672"/>
      <c r="P57" s="672"/>
      <c r="Q57" s="672"/>
      <c r="R57" s="672"/>
      <c r="S57" s="672"/>
      <c r="T57" s="672"/>
      <c r="U57" s="672"/>
      <c r="V57" s="672"/>
      <c r="W57" s="672"/>
      <c r="X57" s="672"/>
      <c r="Y57" s="672"/>
      <c r="Z57" s="672"/>
      <c r="AA57" s="672"/>
      <c r="AB57" s="672"/>
      <c r="AC57" s="672"/>
      <c r="AD57" s="672"/>
      <c r="AE57" s="672"/>
      <c r="AF57" s="672"/>
      <c r="AG57" s="672"/>
      <c r="AH57" s="672"/>
      <c r="AI57" s="672"/>
      <c r="AJ57" s="672"/>
      <c r="AK57" s="672"/>
      <c r="AL57" s="672"/>
      <c r="AM57" s="672"/>
      <c r="AN57" s="672"/>
      <c r="AO57" s="672"/>
      <c r="AP57" s="672"/>
      <c r="AQ57" s="672"/>
      <c r="AR57" s="672"/>
    </row>
    <row r="58" spans="1:44" ht="33.75" customHeight="1">
      <c r="A58" s="8" t="s">
        <v>380</v>
      </c>
      <c r="B58" s="99">
        <v>1054</v>
      </c>
      <c r="C58" s="243" t="s">
        <v>218</v>
      </c>
      <c r="D58" s="243" t="s">
        <v>218</v>
      </c>
      <c r="E58" s="243" t="s">
        <v>218</v>
      </c>
      <c r="F58" s="180" t="s">
        <v>218</v>
      </c>
      <c r="G58" s="183" t="s">
        <v>218</v>
      </c>
      <c r="H58" s="183" t="s">
        <v>218</v>
      </c>
      <c r="I58" s="183" t="s">
        <v>218</v>
      </c>
      <c r="J58" s="183" t="s">
        <v>218</v>
      </c>
      <c r="K58" s="650"/>
      <c r="L58" s="681"/>
      <c r="M58" s="672"/>
      <c r="N58" s="672"/>
      <c r="O58" s="672"/>
      <c r="P58" s="672"/>
      <c r="Q58" s="672"/>
      <c r="R58" s="672"/>
      <c r="S58" s="672"/>
      <c r="T58" s="672"/>
      <c r="U58" s="672"/>
      <c r="V58" s="672"/>
      <c r="W58" s="672"/>
      <c r="X58" s="672"/>
      <c r="Y58" s="672"/>
      <c r="Z58" s="672"/>
      <c r="AA58" s="672"/>
      <c r="AB58" s="672"/>
      <c r="AC58" s="672"/>
      <c r="AD58" s="672"/>
      <c r="AE58" s="672"/>
      <c r="AF58" s="672"/>
      <c r="AG58" s="672"/>
      <c r="AH58" s="672"/>
      <c r="AI58" s="672"/>
      <c r="AJ58" s="672"/>
      <c r="AK58" s="672"/>
      <c r="AL58" s="672"/>
      <c r="AM58" s="672"/>
      <c r="AN58" s="672"/>
      <c r="AO58" s="672"/>
      <c r="AP58" s="672"/>
      <c r="AQ58" s="672"/>
      <c r="AR58" s="672"/>
    </row>
    <row r="59" spans="1:44" ht="34.5" customHeight="1">
      <c r="A59" s="8" t="s">
        <v>46</v>
      </c>
      <c r="B59" s="99">
        <v>1055</v>
      </c>
      <c r="C59" s="196">
        <v>-2</v>
      </c>
      <c r="D59" s="196">
        <v>-7</v>
      </c>
      <c r="E59" s="196">
        <v>-7</v>
      </c>
      <c r="F59" s="180">
        <f t="shared" ref="F59:F66" si="8">SUM(G59:J59)</f>
        <v>-7</v>
      </c>
      <c r="G59" s="183">
        <v>-5</v>
      </c>
      <c r="H59" s="183">
        <v>-1</v>
      </c>
      <c r="I59" s="183">
        <v>-1</v>
      </c>
      <c r="J59" s="183" t="s">
        <v>607</v>
      </c>
      <c r="K59" s="650"/>
      <c r="L59" s="681"/>
      <c r="M59" s="683">
        <v>-10</v>
      </c>
      <c r="N59" s="683"/>
      <c r="O59" s="672"/>
      <c r="P59" s="672"/>
      <c r="Q59" s="672"/>
      <c r="R59" s="672"/>
      <c r="S59" s="672"/>
      <c r="T59" s="672"/>
      <c r="U59" s="672"/>
      <c r="V59" s="672"/>
      <c r="W59" s="672"/>
      <c r="X59" s="672"/>
      <c r="Y59" s="672"/>
      <c r="Z59" s="672"/>
      <c r="AA59" s="672"/>
      <c r="AB59" s="672"/>
      <c r="AC59" s="672"/>
      <c r="AD59" s="672"/>
      <c r="AE59" s="672"/>
      <c r="AF59" s="672"/>
      <c r="AG59" s="672"/>
      <c r="AH59" s="672"/>
      <c r="AI59" s="672"/>
      <c r="AJ59" s="672"/>
      <c r="AK59" s="672"/>
      <c r="AL59" s="672"/>
      <c r="AM59" s="672"/>
      <c r="AN59" s="672"/>
      <c r="AO59" s="672"/>
      <c r="AP59" s="672"/>
      <c r="AQ59" s="672"/>
      <c r="AR59" s="672"/>
    </row>
    <row r="60" spans="1:44" ht="35.25" customHeight="1">
      <c r="A60" s="8" t="s">
        <v>482</v>
      </c>
      <c r="B60" s="99">
        <v>1056</v>
      </c>
      <c r="C60" s="196">
        <v>-1.1000000000000001</v>
      </c>
      <c r="D60" s="196">
        <v>-5</v>
      </c>
      <c r="E60" s="196">
        <v>-5</v>
      </c>
      <c r="F60" s="180">
        <f t="shared" si="8"/>
        <v>-6</v>
      </c>
      <c r="G60" s="183">
        <v>-1.5</v>
      </c>
      <c r="H60" s="183">
        <v>-1.5</v>
      </c>
      <c r="I60" s="183">
        <v>-1</v>
      </c>
      <c r="J60" s="183">
        <v>-2</v>
      </c>
      <c r="K60" s="650"/>
      <c r="L60" s="681"/>
      <c r="M60" s="672"/>
      <c r="N60" s="672"/>
      <c r="O60" s="672"/>
      <c r="P60" s="672"/>
      <c r="Q60" s="672"/>
      <c r="R60" s="672"/>
      <c r="S60" s="672"/>
      <c r="T60" s="672"/>
      <c r="U60" s="672"/>
      <c r="V60" s="672"/>
      <c r="W60" s="672"/>
      <c r="X60" s="672"/>
      <c r="Y60" s="672"/>
      <c r="Z60" s="672"/>
      <c r="AA60" s="672"/>
      <c r="AB60" s="672"/>
      <c r="AC60" s="672"/>
      <c r="AD60" s="672"/>
      <c r="AE60" s="672"/>
      <c r="AF60" s="672"/>
      <c r="AG60" s="672"/>
      <c r="AH60" s="672"/>
      <c r="AI60" s="672"/>
      <c r="AJ60" s="672"/>
      <c r="AK60" s="672"/>
      <c r="AL60" s="672"/>
      <c r="AM60" s="672"/>
      <c r="AN60" s="672"/>
      <c r="AO60" s="672"/>
      <c r="AP60" s="672"/>
      <c r="AQ60" s="672"/>
      <c r="AR60" s="672"/>
    </row>
    <row r="61" spans="1:44" ht="26.25" customHeight="1">
      <c r="A61" s="8" t="s">
        <v>32</v>
      </c>
      <c r="B61" s="99">
        <v>1057</v>
      </c>
      <c r="C61" s="243" t="s">
        <v>218</v>
      </c>
      <c r="D61" s="196">
        <v>0</v>
      </c>
      <c r="E61" s="196">
        <v>0</v>
      </c>
      <c r="F61" s="180">
        <f t="shared" si="8"/>
        <v>0</v>
      </c>
      <c r="G61" s="183" t="s">
        <v>218</v>
      </c>
      <c r="H61" s="183" t="s">
        <v>218</v>
      </c>
      <c r="I61" s="183" t="s">
        <v>218</v>
      </c>
      <c r="J61" s="183" t="s">
        <v>218</v>
      </c>
      <c r="K61" s="650"/>
      <c r="L61" s="681"/>
      <c r="M61" s="672"/>
      <c r="N61" s="672"/>
      <c r="O61" s="672"/>
      <c r="P61" s="672"/>
      <c r="Q61" s="672"/>
      <c r="R61" s="672"/>
      <c r="S61" s="672"/>
      <c r="T61" s="672"/>
      <c r="U61" s="672"/>
      <c r="V61" s="672"/>
      <c r="W61" s="672"/>
      <c r="X61" s="672"/>
      <c r="Y61" s="672"/>
      <c r="Z61" s="672"/>
      <c r="AA61" s="672"/>
      <c r="AB61" s="672"/>
      <c r="AC61" s="672"/>
      <c r="AD61" s="672"/>
      <c r="AE61" s="672"/>
      <c r="AF61" s="672"/>
      <c r="AG61" s="672"/>
      <c r="AH61" s="672"/>
      <c r="AI61" s="672"/>
      <c r="AJ61" s="672"/>
      <c r="AK61" s="672"/>
      <c r="AL61" s="672"/>
      <c r="AM61" s="672"/>
      <c r="AN61" s="672"/>
      <c r="AO61" s="672"/>
      <c r="AP61" s="672"/>
      <c r="AQ61" s="672"/>
      <c r="AR61" s="672"/>
    </row>
    <row r="62" spans="1:44" ht="45" customHeight="1">
      <c r="A62" s="8" t="s">
        <v>33</v>
      </c>
      <c r="B62" s="99">
        <v>1058</v>
      </c>
      <c r="C62" s="243">
        <v>-3.6</v>
      </c>
      <c r="D62" s="196">
        <v>-5.5</v>
      </c>
      <c r="E62" s="196">
        <v>-12.5</v>
      </c>
      <c r="F62" s="180">
        <f t="shared" si="8"/>
        <v>-2.2999999999999998</v>
      </c>
      <c r="G62" s="183">
        <v>0</v>
      </c>
      <c r="H62" s="183">
        <v>-2.2999999999999998</v>
      </c>
      <c r="I62" s="183">
        <v>0</v>
      </c>
      <c r="J62" s="183">
        <v>0</v>
      </c>
      <c r="K62" s="650"/>
      <c r="L62" s="681"/>
      <c r="M62" s="672">
        <v>5.3</v>
      </c>
      <c r="N62" s="672"/>
      <c r="O62" s="672"/>
      <c r="P62" s="672"/>
      <c r="Q62" s="672"/>
      <c r="R62" s="672"/>
      <c r="S62" s="672"/>
      <c r="T62" s="672"/>
      <c r="U62" s="672"/>
      <c r="V62" s="672"/>
      <c r="W62" s="672"/>
      <c r="X62" s="672"/>
      <c r="Y62" s="672"/>
      <c r="Z62" s="672"/>
      <c r="AA62" s="672"/>
      <c r="AB62" s="672"/>
      <c r="AC62" s="672"/>
      <c r="AD62" s="672"/>
      <c r="AE62" s="672"/>
      <c r="AF62" s="672"/>
      <c r="AG62" s="672"/>
      <c r="AH62" s="672"/>
      <c r="AI62" s="672"/>
      <c r="AJ62" s="672"/>
      <c r="AK62" s="672"/>
      <c r="AL62" s="672"/>
      <c r="AM62" s="672"/>
      <c r="AN62" s="672"/>
      <c r="AO62" s="672"/>
      <c r="AP62" s="672"/>
      <c r="AQ62" s="672"/>
      <c r="AR62" s="672"/>
    </row>
    <row r="63" spans="1:44" ht="57.75" customHeight="1">
      <c r="A63" s="8" t="s">
        <v>34</v>
      </c>
      <c r="B63" s="99">
        <v>1059</v>
      </c>
      <c r="C63" s="243">
        <v>0</v>
      </c>
      <c r="D63" s="196" t="s">
        <v>607</v>
      </c>
      <c r="E63" s="196" t="s">
        <v>607</v>
      </c>
      <c r="F63" s="180">
        <f t="shared" si="8"/>
        <v>0</v>
      </c>
      <c r="G63" s="183">
        <v>0</v>
      </c>
      <c r="H63" s="183">
        <v>0</v>
      </c>
      <c r="I63" s="183">
        <v>0</v>
      </c>
      <c r="J63" s="183">
        <v>0</v>
      </c>
      <c r="K63" s="650"/>
      <c r="L63" s="681"/>
      <c r="M63" s="672"/>
      <c r="N63" s="672"/>
      <c r="O63" s="672"/>
      <c r="P63" s="672"/>
      <c r="Q63" s="672"/>
      <c r="R63" s="672"/>
      <c r="S63" s="672"/>
      <c r="T63" s="672"/>
      <c r="U63" s="672"/>
      <c r="V63" s="672"/>
      <c r="W63" s="672"/>
      <c r="X63" s="672"/>
      <c r="Y63" s="672"/>
      <c r="Z63" s="672"/>
      <c r="AA63" s="672"/>
      <c r="AB63" s="672"/>
      <c r="AC63" s="672"/>
      <c r="AD63" s="672"/>
      <c r="AE63" s="672"/>
      <c r="AF63" s="672"/>
      <c r="AG63" s="672"/>
      <c r="AH63" s="672"/>
      <c r="AI63" s="672"/>
      <c r="AJ63" s="672"/>
      <c r="AK63" s="672"/>
      <c r="AL63" s="672"/>
      <c r="AM63" s="672"/>
      <c r="AN63" s="672"/>
      <c r="AO63" s="672"/>
      <c r="AP63" s="672"/>
      <c r="AQ63" s="672"/>
      <c r="AR63" s="672"/>
    </row>
    <row r="64" spans="1:44" ht="97.5" customHeight="1">
      <c r="A64" s="8" t="s">
        <v>368</v>
      </c>
      <c r="B64" s="99">
        <v>1060</v>
      </c>
      <c r="C64" s="243">
        <f>C65</f>
        <v>0</v>
      </c>
      <c r="D64" s="196">
        <v>0</v>
      </c>
      <c r="E64" s="196">
        <v>0</v>
      </c>
      <c r="F64" s="180">
        <f t="shared" si="8"/>
        <v>0</v>
      </c>
      <c r="G64" s="183" t="s">
        <v>218</v>
      </c>
      <c r="H64" s="183" t="s">
        <v>218</v>
      </c>
      <c r="I64" s="183" t="s">
        <v>218</v>
      </c>
      <c r="J64" s="183" t="s">
        <v>218</v>
      </c>
      <c r="K64" s="650"/>
      <c r="L64" s="681"/>
      <c r="M64" s="672"/>
      <c r="N64" s="672"/>
      <c r="O64" s="672"/>
      <c r="P64" s="672"/>
      <c r="Q64" s="672"/>
      <c r="R64" s="672"/>
      <c r="S64" s="672"/>
      <c r="T64" s="672"/>
      <c r="U64" s="672"/>
      <c r="V64" s="672"/>
      <c r="W64" s="672"/>
      <c r="X64" s="672"/>
      <c r="Y64" s="672"/>
      <c r="Z64" s="672"/>
      <c r="AA64" s="672"/>
      <c r="AB64" s="672"/>
      <c r="AC64" s="672"/>
      <c r="AD64" s="672"/>
      <c r="AE64" s="672"/>
      <c r="AF64" s="672"/>
      <c r="AG64" s="672"/>
      <c r="AH64" s="672"/>
      <c r="AI64" s="672"/>
      <c r="AJ64" s="672"/>
      <c r="AK64" s="672"/>
      <c r="AL64" s="672"/>
      <c r="AM64" s="672"/>
      <c r="AN64" s="672"/>
      <c r="AO64" s="672"/>
      <c r="AP64" s="672"/>
      <c r="AQ64" s="672"/>
      <c r="AR64" s="672"/>
    </row>
    <row r="65" spans="1:44" ht="30.75" customHeight="1">
      <c r="A65" s="97" t="s">
        <v>35</v>
      </c>
      <c r="B65" s="120">
        <v>1061</v>
      </c>
      <c r="C65" s="618">
        <v>0</v>
      </c>
      <c r="D65" s="196">
        <v>0</v>
      </c>
      <c r="E65" s="196">
        <v>0</v>
      </c>
      <c r="F65" s="192">
        <f t="shared" si="8"/>
        <v>0</v>
      </c>
      <c r="G65" s="626" t="s">
        <v>218</v>
      </c>
      <c r="H65" s="626" t="s">
        <v>218</v>
      </c>
      <c r="I65" s="626" t="s">
        <v>218</v>
      </c>
      <c r="J65" s="626" t="s">
        <v>218</v>
      </c>
      <c r="K65" s="650"/>
      <c r="L65" s="681"/>
      <c r="M65" s="672"/>
      <c r="N65" s="672"/>
      <c r="O65" s="672"/>
      <c r="P65" s="672"/>
      <c r="Q65" s="672"/>
      <c r="R65" s="672"/>
      <c r="S65" s="672"/>
      <c r="T65" s="672"/>
      <c r="U65" s="672"/>
      <c r="V65" s="672"/>
      <c r="W65" s="672"/>
      <c r="X65" s="672"/>
      <c r="Y65" s="672"/>
      <c r="Z65" s="672"/>
      <c r="AA65" s="672"/>
      <c r="AB65" s="672"/>
      <c r="AC65" s="672"/>
      <c r="AD65" s="672"/>
      <c r="AE65" s="672"/>
      <c r="AF65" s="672"/>
      <c r="AG65" s="672"/>
      <c r="AH65" s="672"/>
      <c r="AI65" s="672"/>
      <c r="AJ65" s="672"/>
      <c r="AK65" s="672"/>
      <c r="AL65" s="672"/>
      <c r="AM65" s="672"/>
      <c r="AN65" s="672"/>
      <c r="AO65" s="672"/>
      <c r="AP65" s="672"/>
      <c r="AQ65" s="672"/>
      <c r="AR65" s="672"/>
    </row>
    <row r="66" spans="1:44" ht="34.5" customHeight="1">
      <c r="A66" s="8" t="s">
        <v>369</v>
      </c>
      <c r="B66" s="99">
        <v>1062</v>
      </c>
      <c r="C66" s="188">
        <f>SUM(C67:C71)</f>
        <v>-203.9</v>
      </c>
      <c r="D66" s="188">
        <f>SUM(D67:D71)</f>
        <v>-283.79999999999995</v>
      </c>
      <c r="E66" s="188">
        <f>SUM(E67:E71)</f>
        <v>-282.2</v>
      </c>
      <c r="F66" s="180">
        <f t="shared" si="8"/>
        <v>-275.79999999999995</v>
      </c>
      <c r="G66" s="183">
        <f>SUM(G67:G72)</f>
        <v>-69.099999999999994</v>
      </c>
      <c r="H66" s="183">
        <f>SUM(H67:H72)</f>
        <v>-69.099999999999994</v>
      </c>
      <c r="I66" s="183">
        <f>SUM(I67:I72)</f>
        <v>-83.1</v>
      </c>
      <c r="J66" s="183">
        <f>SUM(J67:J72)</f>
        <v>-54.5</v>
      </c>
      <c r="K66" s="650"/>
      <c r="L66" s="681"/>
      <c r="M66" s="672"/>
      <c r="N66" s="672"/>
      <c r="O66" s="672"/>
      <c r="P66" s="672"/>
      <c r="Q66" s="672"/>
      <c r="R66" s="672"/>
      <c r="S66" s="672"/>
      <c r="T66" s="672"/>
      <c r="U66" s="672"/>
      <c r="V66" s="672"/>
      <c r="W66" s="672"/>
      <c r="X66" s="672"/>
      <c r="Y66" s="672"/>
      <c r="Z66" s="672"/>
      <c r="AA66" s="672"/>
      <c r="AB66" s="672"/>
      <c r="AC66" s="672"/>
      <c r="AD66" s="672"/>
      <c r="AE66" s="672"/>
      <c r="AF66" s="672"/>
      <c r="AG66" s="672"/>
      <c r="AH66" s="672"/>
      <c r="AI66" s="672"/>
      <c r="AJ66" s="672"/>
      <c r="AK66" s="672"/>
      <c r="AL66" s="672"/>
      <c r="AM66" s="672"/>
      <c r="AN66" s="672"/>
      <c r="AO66" s="672"/>
      <c r="AP66" s="672"/>
      <c r="AQ66" s="672"/>
      <c r="AR66" s="672"/>
    </row>
    <row r="67" spans="1:44" ht="34.5" customHeight="1">
      <c r="A67" s="8" t="s">
        <v>459</v>
      </c>
      <c r="B67" s="121" t="s">
        <v>430</v>
      </c>
      <c r="C67" s="188">
        <v>-35.700000000000003</v>
      </c>
      <c r="D67" s="196">
        <v>-46.2</v>
      </c>
      <c r="E67" s="196">
        <v>-46.2</v>
      </c>
      <c r="F67" s="180">
        <f t="shared" ref="F67:F72" si="9">SUM(G67:J67)</f>
        <v>-53.9</v>
      </c>
      <c r="G67" s="183">
        <v>-13.5</v>
      </c>
      <c r="H67" s="183">
        <v>-13.5</v>
      </c>
      <c r="I67" s="183">
        <v>-13.5</v>
      </c>
      <c r="J67" s="183">
        <v>-13.4</v>
      </c>
      <c r="K67" s="650"/>
      <c r="L67" s="681"/>
      <c r="M67" s="672">
        <v>12.7</v>
      </c>
      <c r="N67" s="672"/>
      <c r="O67" s="672"/>
      <c r="P67" s="672"/>
      <c r="Q67" s="672"/>
      <c r="R67" s="672"/>
      <c r="S67" s="672"/>
      <c r="T67" s="672"/>
      <c r="U67" s="672"/>
      <c r="V67" s="672"/>
      <c r="W67" s="672"/>
      <c r="X67" s="672"/>
      <c r="Y67" s="672"/>
      <c r="Z67" s="672"/>
      <c r="AA67" s="672"/>
      <c r="AB67" s="672"/>
      <c r="AC67" s="672"/>
      <c r="AD67" s="672"/>
      <c r="AE67" s="672"/>
      <c r="AF67" s="672"/>
      <c r="AG67" s="672"/>
      <c r="AH67" s="672"/>
      <c r="AI67" s="672"/>
      <c r="AJ67" s="672"/>
      <c r="AK67" s="672"/>
      <c r="AL67" s="672"/>
      <c r="AM67" s="672"/>
      <c r="AN67" s="672"/>
      <c r="AO67" s="672"/>
      <c r="AP67" s="672"/>
      <c r="AQ67" s="672"/>
      <c r="AR67" s="672"/>
    </row>
    <row r="68" spans="1:44" ht="34.5" customHeight="1">
      <c r="A68" s="8" t="s">
        <v>432</v>
      </c>
      <c r="B68" s="121" t="s">
        <v>431</v>
      </c>
      <c r="C68" s="196">
        <v>-13.8</v>
      </c>
      <c r="D68" s="196">
        <v>-8.6999999999999993</v>
      </c>
      <c r="E68" s="196">
        <v>-45</v>
      </c>
      <c r="F68" s="180">
        <f t="shared" si="9"/>
        <v>-57.3</v>
      </c>
      <c r="G68" s="183">
        <v>-14.4</v>
      </c>
      <c r="H68" s="183">
        <v>-14.4</v>
      </c>
      <c r="I68" s="183">
        <v>-28.5</v>
      </c>
      <c r="J68" s="183">
        <v>0</v>
      </c>
      <c r="K68" s="650"/>
      <c r="L68" s="681"/>
      <c r="M68" s="683">
        <v>-3.3</v>
      </c>
      <c r="N68" s="683"/>
      <c r="O68" s="672"/>
      <c r="P68" s="672"/>
      <c r="Q68" s="672"/>
      <c r="R68" s="672"/>
      <c r="S68" s="672"/>
      <c r="T68" s="672"/>
      <c r="U68" s="672"/>
      <c r="V68" s="672"/>
      <c r="W68" s="672"/>
      <c r="X68" s="672"/>
      <c r="Y68" s="672"/>
      <c r="Z68" s="672"/>
      <c r="AA68" s="672"/>
      <c r="AB68" s="672"/>
      <c r="AC68" s="672"/>
      <c r="AD68" s="672"/>
      <c r="AE68" s="672"/>
      <c r="AF68" s="672"/>
      <c r="AG68" s="672"/>
      <c r="AH68" s="672"/>
      <c r="AI68" s="672"/>
      <c r="AJ68" s="672"/>
      <c r="AK68" s="672"/>
      <c r="AL68" s="672"/>
      <c r="AM68" s="672"/>
      <c r="AN68" s="672"/>
      <c r="AO68" s="672"/>
      <c r="AP68" s="672"/>
      <c r="AQ68" s="672"/>
      <c r="AR68" s="672"/>
    </row>
    <row r="69" spans="1:44" ht="43.5" customHeight="1">
      <c r="A69" s="87" t="s">
        <v>539</v>
      </c>
      <c r="B69" s="121" t="s">
        <v>433</v>
      </c>
      <c r="C69" s="188">
        <v>-59.5</v>
      </c>
      <c r="D69" s="196">
        <v>-122.5</v>
      </c>
      <c r="E69" s="196">
        <v>-86.5</v>
      </c>
      <c r="F69" s="180">
        <f t="shared" si="9"/>
        <v>-78.300000000000011</v>
      </c>
      <c r="G69" s="183">
        <v>-19.600000000000001</v>
      </c>
      <c r="H69" s="183">
        <v>-19.600000000000001</v>
      </c>
      <c r="I69" s="183">
        <v>-19.600000000000001</v>
      </c>
      <c r="J69" s="183">
        <v>-19.5</v>
      </c>
      <c r="K69" s="668"/>
      <c r="L69" s="681"/>
      <c r="M69" s="672">
        <v>0.5</v>
      </c>
      <c r="N69" s="672"/>
      <c r="O69" s="672"/>
      <c r="P69" s="672"/>
      <c r="Q69" s="672"/>
      <c r="R69" s="672"/>
      <c r="S69" s="672"/>
      <c r="T69" s="672"/>
      <c r="U69" s="672"/>
      <c r="V69" s="672"/>
      <c r="W69" s="672"/>
      <c r="X69" s="672"/>
      <c r="Y69" s="672"/>
      <c r="Z69" s="672"/>
      <c r="AA69" s="672"/>
      <c r="AB69" s="672"/>
      <c r="AC69" s="672"/>
      <c r="AD69" s="672"/>
      <c r="AE69" s="672"/>
      <c r="AF69" s="672"/>
      <c r="AG69" s="672"/>
      <c r="AH69" s="672"/>
      <c r="AI69" s="672"/>
      <c r="AJ69" s="672"/>
      <c r="AK69" s="672"/>
      <c r="AL69" s="672"/>
      <c r="AM69" s="672"/>
      <c r="AN69" s="672"/>
      <c r="AO69" s="672"/>
      <c r="AP69" s="672"/>
      <c r="AQ69" s="672"/>
      <c r="AR69" s="672"/>
    </row>
    <row r="70" spans="1:44" ht="56.25" customHeight="1">
      <c r="A70" s="8" t="s">
        <v>471</v>
      </c>
      <c r="B70" s="121" t="s">
        <v>458</v>
      </c>
      <c r="C70" s="188">
        <v>-92</v>
      </c>
      <c r="D70" s="196">
        <v>-102.5</v>
      </c>
      <c r="E70" s="196">
        <v>-102.5</v>
      </c>
      <c r="F70" s="180">
        <f t="shared" si="9"/>
        <v>-86.300000000000011</v>
      </c>
      <c r="G70" s="183">
        <v>-21.6</v>
      </c>
      <c r="H70" s="183">
        <v>-21.6</v>
      </c>
      <c r="I70" s="183">
        <v>-21.5</v>
      </c>
      <c r="J70" s="183">
        <v>-21.6</v>
      </c>
      <c r="K70" s="650"/>
      <c r="L70" s="681"/>
      <c r="M70" s="672">
        <v>47.8</v>
      </c>
      <c r="N70" s="672"/>
      <c r="O70" s="672"/>
      <c r="P70" s="672"/>
      <c r="Q70" s="672"/>
      <c r="R70" s="672"/>
      <c r="S70" s="672"/>
      <c r="T70" s="672"/>
      <c r="U70" s="672"/>
      <c r="V70" s="672"/>
      <c r="W70" s="672"/>
      <c r="X70" s="672"/>
      <c r="Y70" s="672"/>
      <c r="Z70" s="672"/>
      <c r="AA70" s="672"/>
      <c r="AB70" s="672"/>
      <c r="AC70" s="672"/>
      <c r="AD70" s="672"/>
      <c r="AE70" s="672"/>
      <c r="AF70" s="672"/>
      <c r="AG70" s="672"/>
      <c r="AH70" s="672"/>
      <c r="AI70" s="672"/>
      <c r="AJ70" s="672"/>
      <c r="AK70" s="672"/>
      <c r="AL70" s="672"/>
      <c r="AM70" s="672"/>
      <c r="AN70" s="672"/>
      <c r="AO70" s="672"/>
      <c r="AP70" s="672"/>
      <c r="AQ70" s="672"/>
      <c r="AR70" s="672"/>
    </row>
    <row r="71" spans="1:44" ht="38.25" customHeight="1">
      <c r="A71" s="8" t="s">
        <v>537</v>
      </c>
      <c r="B71" s="121" t="s">
        <v>564</v>
      </c>
      <c r="C71" s="196">
        <v>-2.9</v>
      </c>
      <c r="D71" s="196">
        <v>-3.9</v>
      </c>
      <c r="E71" s="196">
        <f>-(3.9-1.9)</f>
        <v>-2</v>
      </c>
      <c r="F71" s="180">
        <f t="shared" si="9"/>
        <v>0</v>
      </c>
      <c r="G71" s="183"/>
      <c r="H71" s="183">
        <v>0</v>
      </c>
      <c r="I71" s="183">
        <v>0</v>
      </c>
      <c r="J71" s="183">
        <v>0</v>
      </c>
      <c r="K71" s="568"/>
      <c r="L71" s="701"/>
      <c r="M71" s="683">
        <f t="shared" ref="M71:R71" si="10">F71+F32</f>
        <v>0</v>
      </c>
      <c r="N71" s="683">
        <f t="shared" si="10"/>
        <v>0</v>
      </c>
      <c r="O71" s="683">
        <f t="shared" si="10"/>
        <v>0</v>
      </c>
      <c r="P71" s="683">
        <f t="shared" si="10"/>
        <v>0</v>
      </c>
      <c r="Q71" s="683">
        <f t="shared" si="10"/>
        <v>0</v>
      </c>
      <c r="R71" s="683">
        <f t="shared" si="10"/>
        <v>0</v>
      </c>
      <c r="S71" s="672"/>
      <c r="T71" s="672"/>
      <c r="U71" s="672"/>
      <c r="V71" s="672"/>
      <c r="W71" s="672"/>
      <c r="X71" s="672"/>
      <c r="Y71" s="672"/>
      <c r="Z71" s="672"/>
      <c r="AA71" s="672"/>
      <c r="AB71" s="672"/>
      <c r="AC71" s="672"/>
      <c r="AD71" s="672"/>
      <c r="AE71" s="672"/>
      <c r="AF71" s="672"/>
      <c r="AG71" s="672"/>
      <c r="AH71" s="672"/>
      <c r="AI71" s="672"/>
      <c r="AJ71" s="672"/>
      <c r="AK71" s="672"/>
      <c r="AL71" s="672"/>
      <c r="AM71" s="672"/>
      <c r="AN71" s="672"/>
      <c r="AO71" s="672"/>
      <c r="AP71" s="672"/>
      <c r="AQ71" s="672"/>
      <c r="AR71" s="672"/>
    </row>
    <row r="72" spans="1:44" ht="34.5" hidden="1" customHeight="1">
      <c r="A72" s="8" t="s">
        <v>429</v>
      </c>
      <c r="B72" s="121" t="s">
        <v>496</v>
      </c>
      <c r="C72" s="183">
        <v>0</v>
      </c>
      <c r="D72" s="196">
        <v>0</v>
      </c>
      <c r="E72" s="196">
        <v>0</v>
      </c>
      <c r="F72" s="180">
        <f t="shared" si="9"/>
        <v>0</v>
      </c>
      <c r="G72" s="183">
        <v>0</v>
      </c>
      <c r="H72" s="183">
        <v>0</v>
      </c>
      <c r="I72" s="183">
        <v>0</v>
      </c>
      <c r="J72" s="183">
        <v>0</v>
      </c>
      <c r="K72" s="650"/>
      <c r="L72" s="681"/>
      <c r="M72" s="672"/>
      <c r="N72" s="672"/>
      <c r="O72" s="672"/>
      <c r="P72" s="672"/>
      <c r="Q72" s="672"/>
      <c r="R72" s="672"/>
      <c r="S72" s="672"/>
      <c r="T72" s="672"/>
      <c r="U72" s="672"/>
      <c r="V72" s="672"/>
      <c r="W72" s="672"/>
      <c r="X72" s="672"/>
      <c r="Y72" s="672"/>
      <c r="Z72" s="672"/>
      <c r="AA72" s="672"/>
      <c r="AB72" s="672"/>
      <c r="AC72" s="672"/>
      <c r="AD72" s="672"/>
      <c r="AE72" s="672"/>
      <c r="AF72" s="672"/>
      <c r="AG72" s="672"/>
      <c r="AH72" s="672"/>
      <c r="AI72" s="672"/>
      <c r="AJ72" s="672"/>
      <c r="AK72" s="672"/>
      <c r="AL72" s="672"/>
      <c r="AM72" s="672"/>
      <c r="AN72" s="672"/>
      <c r="AO72" s="672"/>
      <c r="AP72" s="672"/>
      <c r="AQ72" s="672"/>
      <c r="AR72" s="672"/>
    </row>
    <row r="73" spans="1:44" ht="38.25" customHeight="1">
      <c r="A73" s="132" t="s">
        <v>151</v>
      </c>
      <c r="B73" s="119">
        <v>1070</v>
      </c>
      <c r="C73" s="198">
        <f>SUM(C74:C80)</f>
        <v>0</v>
      </c>
      <c r="D73" s="187">
        <v>0</v>
      </c>
      <c r="E73" s="187">
        <v>0</v>
      </c>
      <c r="F73" s="187">
        <f t="shared" ref="F73:F80" si="11">SUM(G73:J73)</f>
        <v>0</v>
      </c>
      <c r="G73" s="187">
        <f>SUM(G74:G80)</f>
        <v>0</v>
      </c>
      <c r="H73" s="187">
        <f>SUM(H74:H80)</f>
        <v>0</v>
      </c>
      <c r="I73" s="187">
        <f>SUM(I74:I80)</f>
        <v>0</v>
      </c>
      <c r="J73" s="187">
        <f>SUM(J74:J80)</f>
        <v>0</v>
      </c>
      <c r="K73" s="650"/>
      <c r="L73" s="681"/>
      <c r="M73" s="672"/>
      <c r="N73" s="672"/>
      <c r="O73" s="672"/>
      <c r="P73" s="672"/>
      <c r="Q73" s="672"/>
      <c r="R73" s="672"/>
      <c r="S73" s="672"/>
      <c r="T73" s="672"/>
      <c r="U73" s="672"/>
      <c r="V73" s="672"/>
      <c r="W73" s="672"/>
      <c r="X73" s="672"/>
      <c r="Y73" s="672"/>
      <c r="Z73" s="672"/>
      <c r="AA73" s="672"/>
      <c r="AB73" s="672"/>
      <c r="AC73" s="672"/>
      <c r="AD73" s="672"/>
      <c r="AE73" s="672"/>
      <c r="AF73" s="672"/>
      <c r="AG73" s="672"/>
      <c r="AH73" s="672"/>
      <c r="AI73" s="672"/>
      <c r="AJ73" s="672"/>
      <c r="AK73" s="672"/>
      <c r="AL73" s="672"/>
      <c r="AM73" s="672"/>
      <c r="AN73" s="672"/>
      <c r="AO73" s="672"/>
      <c r="AP73" s="672"/>
      <c r="AQ73" s="672"/>
      <c r="AR73" s="672"/>
    </row>
    <row r="74" spans="1:44" ht="24" customHeight="1">
      <c r="A74" s="8" t="s">
        <v>30</v>
      </c>
      <c r="B74" s="99">
        <v>1071</v>
      </c>
      <c r="C74" s="178" t="s">
        <v>218</v>
      </c>
      <c r="D74" s="183" t="s">
        <v>218</v>
      </c>
      <c r="E74" s="183" t="s">
        <v>218</v>
      </c>
      <c r="F74" s="180">
        <f t="shared" si="11"/>
        <v>0</v>
      </c>
      <c r="G74" s="183" t="s">
        <v>218</v>
      </c>
      <c r="H74" s="183" t="s">
        <v>218</v>
      </c>
      <c r="I74" s="183" t="s">
        <v>218</v>
      </c>
      <c r="J74" s="183" t="s">
        <v>218</v>
      </c>
      <c r="K74" s="650"/>
      <c r="L74" s="681"/>
      <c r="M74" s="672"/>
      <c r="N74" s="672"/>
      <c r="O74" s="672"/>
      <c r="P74" s="672"/>
      <c r="Q74" s="672"/>
      <c r="R74" s="672"/>
      <c r="S74" s="672"/>
      <c r="T74" s="672"/>
      <c r="U74" s="672"/>
      <c r="V74" s="672"/>
      <c r="W74" s="672"/>
      <c r="X74" s="672"/>
      <c r="Y74" s="672"/>
      <c r="Z74" s="672"/>
      <c r="AA74" s="672"/>
      <c r="AB74" s="672"/>
      <c r="AC74" s="672"/>
      <c r="AD74" s="672"/>
      <c r="AE74" s="672"/>
      <c r="AF74" s="672"/>
      <c r="AG74" s="672"/>
      <c r="AH74" s="672"/>
      <c r="AI74" s="672"/>
      <c r="AJ74" s="672"/>
      <c r="AK74" s="672"/>
      <c r="AL74" s="672"/>
      <c r="AM74" s="672"/>
      <c r="AN74" s="672"/>
      <c r="AO74" s="672"/>
      <c r="AP74" s="672"/>
      <c r="AQ74" s="672"/>
      <c r="AR74" s="672"/>
    </row>
    <row r="75" spans="1:44" ht="40.5" customHeight="1">
      <c r="A75" s="8" t="s">
        <v>31</v>
      </c>
      <c r="B75" s="99">
        <v>1072</v>
      </c>
      <c r="C75" s="178" t="s">
        <v>218</v>
      </c>
      <c r="D75" s="183" t="s">
        <v>218</v>
      </c>
      <c r="E75" s="183" t="s">
        <v>218</v>
      </c>
      <c r="F75" s="180">
        <f t="shared" si="11"/>
        <v>0</v>
      </c>
      <c r="G75" s="183" t="s">
        <v>218</v>
      </c>
      <c r="H75" s="183" t="s">
        <v>218</v>
      </c>
      <c r="I75" s="183" t="s">
        <v>218</v>
      </c>
      <c r="J75" s="183" t="s">
        <v>218</v>
      </c>
      <c r="K75" s="650"/>
      <c r="L75" s="681"/>
      <c r="M75" s="672"/>
      <c r="N75" s="672"/>
      <c r="O75" s="672"/>
      <c r="P75" s="672"/>
      <c r="Q75" s="672"/>
      <c r="R75" s="672"/>
      <c r="S75" s="672"/>
      <c r="T75" s="672"/>
      <c r="U75" s="672"/>
      <c r="V75" s="672"/>
      <c r="W75" s="672"/>
      <c r="X75" s="672"/>
      <c r="Y75" s="672"/>
      <c r="Z75" s="672"/>
      <c r="AA75" s="672"/>
      <c r="AB75" s="672"/>
      <c r="AC75" s="672"/>
      <c r="AD75" s="672"/>
      <c r="AE75" s="672"/>
      <c r="AF75" s="672"/>
      <c r="AG75" s="672"/>
      <c r="AH75" s="672"/>
      <c r="AI75" s="672"/>
      <c r="AJ75" s="672"/>
      <c r="AK75" s="672"/>
      <c r="AL75" s="672"/>
      <c r="AM75" s="672"/>
      <c r="AN75" s="672"/>
      <c r="AO75" s="672"/>
      <c r="AP75" s="672"/>
      <c r="AQ75" s="672"/>
      <c r="AR75" s="672"/>
    </row>
    <row r="76" spans="1:44" ht="23.25" customHeight="1">
      <c r="A76" s="8" t="s">
        <v>119</v>
      </c>
      <c r="B76" s="99">
        <v>1073</v>
      </c>
      <c r="C76" s="178" t="s">
        <v>218</v>
      </c>
      <c r="D76" s="183" t="s">
        <v>218</v>
      </c>
      <c r="E76" s="183" t="s">
        <v>218</v>
      </c>
      <c r="F76" s="180">
        <f t="shared" si="11"/>
        <v>0</v>
      </c>
      <c r="G76" s="183" t="s">
        <v>218</v>
      </c>
      <c r="H76" s="183" t="s">
        <v>218</v>
      </c>
      <c r="I76" s="183" t="s">
        <v>218</v>
      </c>
      <c r="J76" s="183" t="s">
        <v>218</v>
      </c>
      <c r="K76" s="650"/>
      <c r="L76" s="681"/>
      <c r="M76" s="672"/>
      <c r="N76" s="672"/>
      <c r="O76" s="672"/>
      <c r="P76" s="672"/>
      <c r="Q76" s="672"/>
      <c r="R76" s="672"/>
      <c r="S76" s="672"/>
      <c r="T76" s="672"/>
      <c r="U76" s="672"/>
      <c r="V76" s="672"/>
      <c r="W76" s="672"/>
      <c r="X76" s="672"/>
      <c r="Y76" s="672"/>
      <c r="Z76" s="672"/>
      <c r="AA76" s="672"/>
      <c r="AB76" s="672"/>
      <c r="AC76" s="672"/>
      <c r="AD76" s="672"/>
      <c r="AE76" s="672"/>
      <c r="AF76" s="672"/>
      <c r="AG76" s="672"/>
      <c r="AH76" s="672"/>
      <c r="AI76" s="672"/>
      <c r="AJ76" s="672"/>
      <c r="AK76" s="672"/>
      <c r="AL76" s="672"/>
      <c r="AM76" s="672"/>
      <c r="AN76" s="672"/>
      <c r="AO76" s="672"/>
      <c r="AP76" s="672"/>
      <c r="AQ76" s="672"/>
      <c r="AR76" s="672"/>
    </row>
    <row r="77" spans="1:44" ht="36" customHeight="1">
      <c r="A77" s="8" t="s">
        <v>45</v>
      </c>
      <c r="B77" s="99">
        <v>1074</v>
      </c>
      <c r="C77" s="178" t="s">
        <v>218</v>
      </c>
      <c r="D77" s="183" t="s">
        <v>218</v>
      </c>
      <c r="E77" s="183" t="s">
        <v>218</v>
      </c>
      <c r="F77" s="180">
        <f t="shared" si="11"/>
        <v>0</v>
      </c>
      <c r="G77" s="183" t="s">
        <v>218</v>
      </c>
      <c r="H77" s="183" t="s">
        <v>218</v>
      </c>
      <c r="I77" s="183" t="s">
        <v>218</v>
      </c>
      <c r="J77" s="183" t="s">
        <v>218</v>
      </c>
      <c r="K77" s="650"/>
      <c r="L77" s="681"/>
      <c r="M77" s="672"/>
      <c r="N77" s="672"/>
      <c r="O77" s="672"/>
      <c r="P77" s="672"/>
      <c r="Q77" s="672"/>
      <c r="R77" s="672"/>
      <c r="S77" s="672"/>
      <c r="T77" s="672"/>
      <c r="U77" s="672"/>
      <c r="V77" s="672"/>
      <c r="W77" s="672"/>
      <c r="X77" s="672"/>
      <c r="Y77" s="672"/>
      <c r="Z77" s="672"/>
      <c r="AA77" s="672"/>
      <c r="AB77" s="672"/>
      <c r="AC77" s="672"/>
      <c r="AD77" s="672"/>
      <c r="AE77" s="672"/>
      <c r="AF77" s="672"/>
      <c r="AG77" s="672"/>
      <c r="AH77" s="672"/>
      <c r="AI77" s="672"/>
      <c r="AJ77" s="672"/>
      <c r="AK77" s="672"/>
      <c r="AL77" s="672"/>
      <c r="AM77" s="672"/>
      <c r="AN77" s="672"/>
      <c r="AO77" s="672"/>
      <c r="AP77" s="672"/>
      <c r="AQ77" s="672"/>
      <c r="AR77" s="672"/>
    </row>
    <row r="78" spans="1:44" ht="24.75" customHeight="1">
      <c r="A78" s="8" t="s">
        <v>61</v>
      </c>
      <c r="B78" s="99">
        <v>1075</v>
      </c>
      <c r="C78" s="178" t="s">
        <v>218</v>
      </c>
      <c r="D78" s="183" t="s">
        <v>218</v>
      </c>
      <c r="E78" s="183" t="s">
        <v>218</v>
      </c>
      <c r="F78" s="180">
        <f t="shared" si="11"/>
        <v>0</v>
      </c>
      <c r="G78" s="183" t="s">
        <v>218</v>
      </c>
      <c r="H78" s="183" t="s">
        <v>218</v>
      </c>
      <c r="I78" s="183" t="s">
        <v>218</v>
      </c>
      <c r="J78" s="183" t="s">
        <v>218</v>
      </c>
      <c r="K78" s="650"/>
      <c r="L78" s="681"/>
      <c r="M78" s="672"/>
      <c r="N78" s="672"/>
      <c r="O78" s="672"/>
      <c r="P78" s="672"/>
      <c r="Q78" s="672"/>
      <c r="R78" s="672"/>
      <c r="S78" s="672"/>
      <c r="T78" s="672"/>
      <c r="U78" s="672"/>
      <c r="V78" s="672"/>
      <c r="W78" s="672"/>
      <c r="X78" s="672"/>
      <c r="Y78" s="672"/>
      <c r="Z78" s="672"/>
      <c r="AA78" s="672"/>
      <c r="AB78" s="672"/>
      <c r="AC78" s="672"/>
      <c r="AD78" s="672"/>
      <c r="AE78" s="672"/>
      <c r="AF78" s="672"/>
      <c r="AG78" s="672"/>
      <c r="AH78" s="672"/>
      <c r="AI78" s="672"/>
      <c r="AJ78" s="672"/>
      <c r="AK78" s="672"/>
      <c r="AL78" s="672"/>
      <c r="AM78" s="672"/>
      <c r="AN78" s="672"/>
      <c r="AO78" s="672"/>
      <c r="AP78" s="672"/>
      <c r="AQ78" s="672"/>
      <c r="AR78" s="672"/>
    </row>
    <row r="79" spans="1:44" ht="39" customHeight="1">
      <c r="A79" s="8" t="s">
        <v>120</v>
      </c>
      <c r="B79" s="99">
        <v>1076</v>
      </c>
      <c r="C79" s="178" t="s">
        <v>218</v>
      </c>
      <c r="D79" s="183" t="s">
        <v>218</v>
      </c>
      <c r="E79" s="183" t="s">
        <v>218</v>
      </c>
      <c r="F79" s="180">
        <f t="shared" si="11"/>
        <v>0</v>
      </c>
      <c r="G79" s="183" t="s">
        <v>218</v>
      </c>
      <c r="H79" s="183" t="s">
        <v>218</v>
      </c>
      <c r="I79" s="183" t="s">
        <v>218</v>
      </c>
      <c r="J79" s="183" t="s">
        <v>218</v>
      </c>
      <c r="K79" s="650"/>
      <c r="L79" s="681"/>
      <c r="M79" s="672"/>
      <c r="N79" s="672"/>
      <c r="O79" s="672"/>
      <c r="P79" s="672"/>
      <c r="Q79" s="672"/>
      <c r="R79" s="672"/>
      <c r="S79" s="672"/>
      <c r="T79" s="672"/>
      <c r="U79" s="672"/>
      <c r="V79" s="672"/>
      <c r="W79" s="672"/>
      <c r="X79" s="672"/>
      <c r="Y79" s="672"/>
      <c r="Z79" s="672"/>
      <c r="AA79" s="672"/>
      <c r="AB79" s="672"/>
      <c r="AC79" s="672"/>
      <c r="AD79" s="672"/>
      <c r="AE79" s="672"/>
      <c r="AF79" s="672"/>
      <c r="AG79" s="672"/>
      <c r="AH79" s="672"/>
      <c r="AI79" s="672"/>
      <c r="AJ79" s="672"/>
      <c r="AK79" s="672"/>
      <c r="AL79" s="672"/>
      <c r="AM79" s="672"/>
      <c r="AN79" s="672"/>
      <c r="AO79" s="672"/>
      <c r="AP79" s="672"/>
      <c r="AQ79" s="672"/>
      <c r="AR79" s="672"/>
    </row>
    <row r="80" spans="1:44" ht="33" customHeight="1">
      <c r="A80" s="8" t="s">
        <v>415</v>
      </c>
      <c r="B80" s="99">
        <v>1077</v>
      </c>
      <c r="C80" s="178" t="s">
        <v>218</v>
      </c>
      <c r="D80" s="183" t="s">
        <v>218</v>
      </c>
      <c r="E80" s="183" t="s">
        <v>218</v>
      </c>
      <c r="F80" s="180">
        <f t="shared" si="11"/>
        <v>0</v>
      </c>
      <c r="G80" s="183" t="s">
        <v>218</v>
      </c>
      <c r="H80" s="183" t="s">
        <v>218</v>
      </c>
      <c r="I80" s="183" t="s">
        <v>218</v>
      </c>
      <c r="J80" s="183" t="s">
        <v>218</v>
      </c>
      <c r="K80" s="650"/>
      <c r="L80" s="681"/>
      <c r="M80" s="672"/>
      <c r="N80" s="672"/>
      <c r="O80" s="672"/>
      <c r="P80" s="672"/>
      <c r="Q80" s="672"/>
      <c r="R80" s="672"/>
      <c r="S80" s="672"/>
      <c r="T80" s="672"/>
      <c r="U80" s="672"/>
      <c r="V80" s="672"/>
      <c r="W80" s="672"/>
      <c r="X80" s="672"/>
      <c r="Y80" s="672"/>
      <c r="Z80" s="672"/>
      <c r="AA80" s="672"/>
      <c r="AB80" s="672"/>
      <c r="AC80" s="672"/>
      <c r="AD80" s="672"/>
      <c r="AE80" s="672"/>
      <c r="AF80" s="672"/>
      <c r="AG80" s="672"/>
      <c r="AH80" s="672"/>
      <c r="AI80" s="672"/>
      <c r="AJ80" s="672"/>
      <c r="AK80" s="672"/>
      <c r="AL80" s="672"/>
      <c r="AM80" s="672"/>
      <c r="AN80" s="672"/>
      <c r="AO80" s="672"/>
      <c r="AP80" s="672"/>
      <c r="AQ80" s="672"/>
      <c r="AR80" s="672"/>
    </row>
    <row r="81" spans="1:44" ht="40.5" customHeight="1">
      <c r="A81" s="134" t="s">
        <v>370</v>
      </c>
      <c r="B81" s="119">
        <v>1080</v>
      </c>
      <c r="C81" s="198">
        <f>C87+C91+C92+C86</f>
        <v>-46253.4</v>
      </c>
      <c r="D81" s="187">
        <f>SUM(D82:D93)-D88-D89</f>
        <v>-50300</v>
      </c>
      <c r="E81" s="187">
        <f>SUM(E82:E94)-E88-E89</f>
        <v>-57821.899999999994</v>
      </c>
      <c r="F81" s="187">
        <f>SUM(G81:J81)</f>
        <v>-53504.292399999998</v>
      </c>
      <c r="G81" s="187">
        <f>SUM(G82:G91)-G88-G89-G90+G94+G92+G93</f>
        <v>-31271.079200000004</v>
      </c>
      <c r="H81" s="187">
        <f t="shared" ref="H81:J81" si="12">SUM(H82:H91)-H88-H89-H90+H94+H92+H93</f>
        <v>-7807.9472000000014</v>
      </c>
      <c r="I81" s="187">
        <f t="shared" si="12"/>
        <v>-6995.4258000000009</v>
      </c>
      <c r="J81" s="187">
        <f t="shared" si="12"/>
        <v>-7429.8402000000006</v>
      </c>
      <c r="K81" s="650"/>
      <c r="L81" s="681"/>
      <c r="M81" s="672"/>
      <c r="N81" s="672"/>
      <c r="O81" s="672"/>
      <c r="P81" s="672"/>
      <c r="Q81" s="672"/>
      <c r="R81" s="672"/>
      <c r="S81" s="672"/>
      <c r="T81" s="672"/>
      <c r="U81" s="672"/>
      <c r="V81" s="672"/>
      <c r="W81" s="672"/>
      <c r="X81" s="672"/>
      <c r="Y81" s="672"/>
      <c r="Z81" s="672"/>
      <c r="AA81" s="672"/>
      <c r="AB81" s="672"/>
      <c r="AC81" s="672"/>
      <c r="AD81" s="672"/>
      <c r="AE81" s="672"/>
      <c r="AF81" s="672"/>
      <c r="AG81" s="672"/>
      <c r="AH81" s="672"/>
      <c r="AI81" s="672"/>
      <c r="AJ81" s="672"/>
      <c r="AK81" s="672"/>
      <c r="AL81" s="672"/>
      <c r="AM81" s="672"/>
      <c r="AN81" s="672"/>
      <c r="AO81" s="672"/>
      <c r="AP81" s="672"/>
      <c r="AQ81" s="672"/>
      <c r="AR81" s="672"/>
    </row>
    <row r="82" spans="1:44" ht="38.25" customHeight="1">
      <c r="A82" s="8" t="s">
        <v>52</v>
      </c>
      <c r="B82" s="99">
        <v>1081</v>
      </c>
      <c r="C82" s="183" t="s">
        <v>218</v>
      </c>
      <c r="D82" s="183">
        <v>0</v>
      </c>
      <c r="E82" s="183">
        <v>0</v>
      </c>
      <c r="F82" s="180" t="s">
        <v>218</v>
      </c>
      <c r="G82" s="183" t="s">
        <v>218</v>
      </c>
      <c r="H82" s="183" t="s">
        <v>218</v>
      </c>
      <c r="I82" s="183" t="s">
        <v>218</v>
      </c>
      <c r="J82" s="183" t="s">
        <v>218</v>
      </c>
      <c r="K82" s="650"/>
      <c r="L82" s="681"/>
      <c r="M82" s="672"/>
      <c r="N82" s="672"/>
      <c r="O82" s="672"/>
      <c r="P82" s="672"/>
      <c r="Q82" s="672"/>
      <c r="R82" s="672"/>
      <c r="S82" s="672"/>
      <c r="T82" s="672"/>
      <c r="U82" s="672"/>
      <c r="V82" s="672"/>
      <c r="W82" s="672"/>
      <c r="X82" s="672"/>
      <c r="Y82" s="672"/>
      <c r="Z82" s="672"/>
      <c r="AA82" s="672"/>
      <c r="AB82" s="672"/>
      <c r="AC82" s="672"/>
      <c r="AD82" s="672"/>
      <c r="AE82" s="672"/>
      <c r="AF82" s="672"/>
      <c r="AG82" s="672"/>
      <c r="AH82" s="672"/>
      <c r="AI82" s="672"/>
      <c r="AJ82" s="672"/>
      <c r="AK82" s="672"/>
      <c r="AL82" s="672"/>
      <c r="AM82" s="672"/>
      <c r="AN82" s="672"/>
      <c r="AO82" s="672"/>
      <c r="AP82" s="672"/>
      <c r="AQ82" s="672"/>
      <c r="AR82" s="672"/>
    </row>
    <row r="83" spans="1:44" ht="40.5" customHeight="1">
      <c r="A83" s="8" t="s">
        <v>36</v>
      </c>
      <c r="B83" s="99">
        <v>1082</v>
      </c>
      <c r="C83" s="183" t="s">
        <v>218</v>
      </c>
      <c r="D83" s="183">
        <v>0</v>
      </c>
      <c r="E83" s="183">
        <v>0</v>
      </c>
      <c r="F83" s="180" t="s">
        <v>218</v>
      </c>
      <c r="G83" s="183" t="s">
        <v>218</v>
      </c>
      <c r="H83" s="183" t="s">
        <v>218</v>
      </c>
      <c r="I83" s="183" t="s">
        <v>218</v>
      </c>
      <c r="J83" s="183" t="s">
        <v>218</v>
      </c>
      <c r="K83" s="650"/>
      <c r="L83" s="681"/>
      <c r="M83" s="672"/>
      <c r="N83" s="672"/>
      <c r="O83" s="672"/>
      <c r="P83" s="672"/>
      <c r="Q83" s="672"/>
      <c r="R83" s="672"/>
      <c r="S83" s="672"/>
      <c r="T83" s="672"/>
      <c r="U83" s="672"/>
      <c r="V83" s="672"/>
      <c r="W83" s="672"/>
      <c r="X83" s="672"/>
      <c r="Y83" s="672"/>
      <c r="Z83" s="672"/>
      <c r="AA83" s="672"/>
      <c r="AB83" s="672"/>
      <c r="AC83" s="672"/>
      <c r="AD83" s="672"/>
      <c r="AE83" s="672"/>
      <c r="AF83" s="672"/>
      <c r="AG83" s="672"/>
      <c r="AH83" s="672"/>
      <c r="AI83" s="672"/>
      <c r="AJ83" s="672"/>
      <c r="AK83" s="672"/>
      <c r="AL83" s="672"/>
      <c r="AM83" s="672"/>
      <c r="AN83" s="672"/>
      <c r="AO83" s="672"/>
      <c r="AP83" s="672"/>
      <c r="AQ83" s="672"/>
      <c r="AR83" s="672"/>
    </row>
    <row r="84" spans="1:44" ht="38.25" customHeight="1">
      <c r="A84" s="8" t="s">
        <v>44</v>
      </c>
      <c r="B84" s="99">
        <v>1083</v>
      </c>
      <c r="C84" s="183" t="s">
        <v>218</v>
      </c>
      <c r="D84" s="183">
        <v>0</v>
      </c>
      <c r="E84" s="183">
        <v>0</v>
      </c>
      <c r="F84" s="180" t="s">
        <v>218</v>
      </c>
      <c r="G84" s="183" t="s">
        <v>218</v>
      </c>
      <c r="H84" s="183" t="s">
        <v>218</v>
      </c>
      <c r="I84" s="183" t="s">
        <v>218</v>
      </c>
      <c r="J84" s="183" t="s">
        <v>218</v>
      </c>
      <c r="K84" s="650"/>
      <c r="L84" s="681"/>
      <c r="M84" s="672"/>
      <c r="N84" s="672"/>
      <c r="O84" s="672"/>
      <c r="P84" s="672"/>
      <c r="Q84" s="672"/>
      <c r="R84" s="672"/>
      <c r="S84" s="672"/>
      <c r="T84" s="672"/>
      <c r="U84" s="672"/>
      <c r="V84" s="672"/>
      <c r="W84" s="672"/>
      <c r="X84" s="672"/>
      <c r="Y84" s="672"/>
      <c r="Z84" s="672"/>
      <c r="AA84" s="672"/>
      <c r="AB84" s="672"/>
      <c r="AC84" s="672"/>
      <c r="AD84" s="672"/>
      <c r="AE84" s="672"/>
      <c r="AF84" s="672"/>
      <c r="AG84" s="672"/>
      <c r="AH84" s="672"/>
      <c r="AI84" s="672"/>
      <c r="AJ84" s="672"/>
      <c r="AK84" s="672"/>
      <c r="AL84" s="672"/>
      <c r="AM84" s="672"/>
      <c r="AN84" s="672"/>
      <c r="AO84" s="672"/>
      <c r="AP84" s="672"/>
      <c r="AQ84" s="672"/>
      <c r="AR84" s="672"/>
    </row>
    <row r="85" spans="1:44" ht="20.25" customHeight="1">
      <c r="A85" s="8" t="s">
        <v>149</v>
      </c>
      <c r="B85" s="99">
        <v>1084</v>
      </c>
      <c r="C85" s="183" t="s">
        <v>218</v>
      </c>
      <c r="D85" s="183">
        <v>0</v>
      </c>
      <c r="E85" s="183">
        <v>0</v>
      </c>
      <c r="F85" s="180" t="s">
        <v>218</v>
      </c>
      <c r="G85" s="183" t="s">
        <v>218</v>
      </c>
      <c r="H85" s="183" t="s">
        <v>218</v>
      </c>
      <c r="I85" s="183" t="s">
        <v>218</v>
      </c>
      <c r="J85" s="183" t="s">
        <v>218</v>
      </c>
      <c r="K85" s="650"/>
      <c r="L85" s="681"/>
      <c r="M85" s="672"/>
      <c r="N85" s="672"/>
      <c r="O85" s="672"/>
      <c r="P85" s="672"/>
      <c r="Q85" s="672"/>
      <c r="R85" s="672"/>
      <c r="S85" s="672"/>
      <c r="T85" s="672"/>
      <c r="U85" s="672"/>
      <c r="V85" s="672"/>
      <c r="W85" s="672"/>
      <c r="X85" s="672"/>
      <c r="Y85" s="672"/>
      <c r="Z85" s="672"/>
      <c r="AA85" s="672"/>
      <c r="AB85" s="672"/>
      <c r="AC85" s="672"/>
      <c r="AD85" s="672"/>
      <c r="AE85" s="672"/>
      <c r="AF85" s="672"/>
      <c r="AG85" s="672"/>
      <c r="AH85" s="672"/>
      <c r="AI85" s="672"/>
      <c r="AJ85" s="672"/>
      <c r="AK85" s="672"/>
      <c r="AL85" s="672"/>
      <c r="AM85" s="672"/>
      <c r="AN85" s="672"/>
      <c r="AO85" s="672"/>
      <c r="AP85" s="672"/>
      <c r="AQ85" s="672"/>
      <c r="AR85" s="672"/>
    </row>
    <row r="86" spans="1:44" ht="30.75" customHeight="1">
      <c r="A86" s="517" t="s">
        <v>603</v>
      </c>
      <c r="B86" s="99">
        <v>1085</v>
      </c>
      <c r="C86" s="183">
        <v>-1109.9000000000001</v>
      </c>
      <c r="D86" s="183">
        <v>-1209.2</v>
      </c>
      <c r="E86" s="183">
        <v>-1272.7</v>
      </c>
      <c r="F86" s="180">
        <f t="shared" ref="F86:F94" si="13">SUM(G86:J86)</f>
        <v>-1346.5</v>
      </c>
      <c r="G86" s="183">
        <f>-(336.7)</f>
        <v>-336.7</v>
      </c>
      <c r="H86" s="183">
        <f t="shared" ref="H86:J86" si="14">-(336.6)</f>
        <v>-336.6</v>
      </c>
      <c r="I86" s="183">
        <f t="shared" si="14"/>
        <v>-336.6</v>
      </c>
      <c r="J86" s="183">
        <f t="shared" si="14"/>
        <v>-336.6</v>
      </c>
      <c r="K86" s="649"/>
      <c r="L86" s="702"/>
      <c r="M86" s="683"/>
      <c r="N86" s="672"/>
      <c r="O86" s="672"/>
      <c r="P86" s="672"/>
      <c r="Q86" s="672"/>
      <c r="R86" s="672"/>
      <c r="S86" s="672"/>
      <c r="T86" s="672"/>
      <c r="U86" s="672"/>
      <c r="V86" s="672"/>
      <c r="W86" s="672"/>
      <c r="X86" s="672"/>
      <c r="Y86" s="672"/>
      <c r="Z86" s="672"/>
      <c r="AA86" s="672"/>
      <c r="AB86" s="672"/>
      <c r="AC86" s="672"/>
      <c r="AD86" s="672"/>
      <c r="AE86" s="672"/>
      <c r="AF86" s="672"/>
      <c r="AG86" s="672"/>
      <c r="AH86" s="672"/>
      <c r="AI86" s="672"/>
      <c r="AJ86" s="672"/>
      <c r="AK86" s="672"/>
      <c r="AL86" s="672"/>
      <c r="AM86" s="672"/>
      <c r="AN86" s="672"/>
      <c r="AO86" s="672"/>
      <c r="AP86" s="672"/>
      <c r="AQ86" s="672"/>
      <c r="AR86" s="672"/>
    </row>
    <row r="87" spans="1:44" ht="41.25" customHeight="1">
      <c r="A87" s="232" t="s">
        <v>714</v>
      </c>
      <c r="B87" s="99">
        <v>1086</v>
      </c>
      <c r="C87" s="183">
        <f>C88+C89</f>
        <v>-34506.300000000003</v>
      </c>
      <c r="D87" s="183">
        <f>D88+D89</f>
        <v>-42790.8</v>
      </c>
      <c r="E87" s="183">
        <f>E88+E89</f>
        <v>-42462</v>
      </c>
      <c r="F87" s="189">
        <f>SUM(G87:J87)</f>
        <v>-45475.232000000004</v>
      </c>
      <c r="G87" s="183">
        <f>G88+G89+G90</f>
        <v>-28975.823200000003</v>
      </c>
      <c r="H87" s="183">
        <f>H88+H89+H90</f>
        <v>-5842.165</v>
      </c>
      <c r="I87" s="183">
        <f>I88+I89+I90</f>
        <v>-5139.6036000000004</v>
      </c>
      <c r="J87" s="183">
        <f>J88+J89+J90</f>
        <v>-5517.6402000000007</v>
      </c>
      <c r="K87" s="663"/>
      <c r="L87" s="674"/>
      <c r="M87" s="672"/>
      <c r="N87" s="672"/>
      <c r="O87" s="672"/>
      <c r="P87" s="672"/>
      <c r="Q87" s="672"/>
      <c r="R87" s="672"/>
      <c r="S87" s="672"/>
      <c r="T87" s="672"/>
      <c r="U87" s="672"/>
      <c r="V87" s="672"/>
      <c r="W87" s="672"/>
      <c r="X87" s="672"/>
      <c r="Y87" s="672"/>
      <c r="Z87" s="672"/>
      <c r="AA87" s="672"/>
      <c r="AB87" s="672"/>
      <c r="AC87" s="672"/>
      <c r="AD87" s="672"/>
      <c r="AE87" s="672"/>
      <c r="AF87" s="672"/>
      <c r="AG87" s="672"/>
      <c r="AH87" s="672"/>
      <c r="AI87" s="672"/>
      <c r="AJ87" s="672"/>
      <c r="AK87" s="672"/>
      <c r="AL87" s="672"/>
      <c r="AM87" s="672"/>
      <c r="AN87" s="672"/>
      <c r="AO87" s="672"/>
      <c r="AP87" s="672"/>
      <c r="AQ87" s="672"/>
      <c r="AR87" s="672"/>
    </row>
    <row r="88" spans="1:44" ht="41.25" customHeight="1">
      <c r="A88" s="283" t="s">
        <v>574</v>
      </c>
      <c r="B88" s="99" t="s">
        <v>604</v>
      </c>
      <c r="C88" s="183">
        <v>-30465.200000000001</v>
      </c>
      <c r="D88" s="183">
        <v>-37218</v>
      </c>
      <c r="E88" s="183">
        <v>-37077.300000000003</v>
      </c>
      <c r="F88" s="189">
        <f t="shared" si="13"/>
        <v>-39545.747800000005</v>
      </c>
      <c r="G88" s="178">
        <f t="shared" ref="G88:J89" si="15">-G37</f>
        <v>-26848.883400000002</v>
      </c>
      <c r="H88" s="178">
        <f t="shared" si="15"/>
        <v>-4468.1704</v>
      </c>
      <c r="I88" s="178">
        <f t="shared" si="15"/>
        <v>-4411.5126</v>
      </c>
      <c r="J88" s="178">
        <f t="shared" si="15"/>
        <v>-3817.1814000000004</v>
      </c>
      <c r="K88" s="650"/>
      <c r="L88" s="681"/>
      <c r="M88" s="672"/>
      <c r="N88" s="672"/>
      <c r="O88" s="672"/>
      <c r="P88" s="672"/>
      <c r="Q88" s="672"/>
      <c r="R88" s="672"/>
      <c r="S88" s="672"/>
      <c r="T88" s="672"/>
      <c r="U88" s="672"/>
      <c r="V88" s="672"/>
      <c r="W88" s="672"/>
      <c r="X88" s="672"/>
      <c r="Y88" s="672"/>
      <c r="Z88" s="672"/>
      <c r="AA88" s="672"/>
      <c r="AB88" s="672"/>
      <c r="AC88" s="672"/>
      <c r="AD88" s="672"/>
      <c r="AE88" s="672"/>
      <c r="AF88" s="672"/>
      <c r="AG88" s="672"/>
      <c r="AH88" s="672"/>
      <c r="AI88" s="672"/>
      <c r="AJ88" s="672"/>
      <c r="AK88" s="672"/>
      <c r="AL88" s="672"/>
      <c r="AM88" s="672"/>
      <c r="AN88" s="672"/>
      <c r="AO88" s="672"/>
      <c r="AP88" s="672"/>
      <c r="AQ88" s="672"/>
      <c r="AR88" s="672"/>
    </row>
    <row r="89" spans="1:44" ht="41.25" customHeight="1">
      <c r="A89" s="284" t="s">
        <v>575</v>
      </c>
      <c r="B89" s="99" t="s">
        <v>605</v>
      </c>
      <c r="C89" s="183">
        <v>-4041.1</v>
      </c>
      <c r="D89" s="183">
        <v>-5572.8</v>
      </c>
      <c r="E89" s="183">
        <v>-5384.7</v>
      </c>
      <c r="F89" s="189">
        <f t="shared" si="13"/>
        <v>-5907.3842000000004</v>
      </c>
      <c r="G89" s="183">
        <f t="shared" si="15"/>
        <v>-2116.9398000000001</v>
      </c>
      <c r="H89" s="183">
        <f t="shared" si="15"/>
        <v>-1363.9946000000002</v>
      </c>
      <c r="I89" s="183">
        <f t="shared" si="15"/>
        <v>-725.9910000000001</v>
      </c>
      <c r="J89" s="183">
        <f t="shared" si="15"/>
        <v>-1700.4588000000001</v>
      </c>
      <c r="K89" s="650"/>
      <c r="L89" s="681"/>
      <c r="M89" s="672"/>
      <c r="N89" s="672"/>
      <c r="O89" s="672"/>
      <c r="P89" s="672"/>
      <c r="Q89" s="672"/>
      <c r="R89" s="672"/>
      <c r="S89" s="672"/>
      <c r="T89" s="672"/>
      <c r="U89" s="672"/>
      <c r="V89" s="672"/>
      <c r="W89" s="672"/>
      <c r="X89" s="672"/>
      <c r="Y89" s="672"/>
      <c r="Z89" s="672"/>
      <c r="AA89" s="672"/>
      <c r="AB89" s="672"/>
      <c r="AC89" s="672"/>
      <c r="AD89" s="672"/>
      <c r="AE89" s="672"/>
      <c r="AF89" s="672"/>
      <c r="AG89" s="672"/>
      <c r="AH89" s="672"/>
      <c r="AI89" s="672"/>
      <c r="AJ89" s="672"/>
      <c r="AK89" s="672"/>
      <c r="AL89" s="672"/>
      <c r="AM89" s="672"/>
      <c r="AN89" s="672"/>
      <c r="AO89" s="672"/>
      <c r="AP89" s="672"/>
      <c r="AQ89" s="672"/>
      <c r="AR89" s="672"/>
    </row>
    <row r="90" spans="1:44" ht="41.25" customHeight="1">
      <c r="A90" s="284" t="s">
        <v>545</v>
      </c>
      <c r="B90" s="99" t="s">
        <v>605</v>
      </c>
      <c r="C90" s="183"/>
      <c r="D90" s="183"/>
      <c r="E90" s="183"/>
      <c r="F90" s="189">
        <f t="shared" si="13"/>
        <v>-22.1</v>
      </c>
      <c r="G90" s="183">
        <f>-G39</f>
        <v>-10</v>
      </c>
      <c r="H90" s="183">
        <f t="shared" ref="H90:J90" si="16">-H39</f>
        <v>-10</v>
      </c>
      <c r="I90" s="183">
        <f t="shared" si="16"/>
        <v>-2.1</v>
      </c>
      <c r="J90" s="183">
        <f t="shared" si="16"/>
        <v>0</v>
      </c>
      <c r="K90" s="650"/>
      <c r="L90" s="681"/>
      <c r="M90" s="672"/>
      <c r="N90" s="672"/>
      <c r="O90" s="672"/>
      <c r="P90" s="672"/>
      <c r="Q90" s="672"/>
      <c r="R90" s="672"/>
      <c r="S90" s="672"/>
      <c r="T90" s="672"/>
      <c r="U90" s="672"/>
      <c r="V90" s="672"/>
      <c r="W90" s="672"/>
      <c r="X90" s="672"/>
      <c r="Y90" s="672"/>
      <c r="Z90" s="672"/>
      <c r="AA90" s="672"/>
      <c r="AB90" s="672"/>
      <c r="AC90" s="672"/>
      <c r="AD90" s="672"/>
      <c r="AE90" s="672"/>
      <c r="AF90" s="672"/>
      <c r="AG90" s="672"/>
      <c r="AH90" s="672"/>
      <c r="AI90" s="672"/>
      <c r="AJ90" s="672"/>
      <c r="AK90" s="672"/>
      <c r="AL90" s="672"/>
      <c r="AM90" s="672"/>
      <c r="AN90" s="672"/>
      <c r="AO90" s="672"/>
      <c r="AP90" s="672"/>
      <c r="AQ90" s="672"/>
      <c r="AR90" s="672"/>
    </row>
    <row r="91" spans="1:44" ht="51.75" customHeight="1">
      <c r="A91" s="87" t="s">
        <v>750</v>
      </c>
      <c r="B91" s="121">
        <v>1087</v>
      </c>
      <c r="C91" s="188">
        <v>-10637.2</v>
      </c>
      <c r="D91" s="183">
        <v>-6300</v>
      </c>
      <c r="E91" s="183">
        <f>-(11814.4)</f>
        <v>-11814.4</v>
      </c>
      <c r="F91" s="244">
        <f t="shared" si="13"/>
        <v>-6300</v>
      </c>
      <c r="G91" s="188">
        <f>-(G35)</f>
        <v>-1800</v>
      </c>
      <c r="H91" s="188">
        <f t="shared" ref="H91:J91" si="17">-(H35)</f>
        <v>-1500</v>
      </c>
      <c r="I91" s="188">
        <f t="shared" si="17"/>
        <v>-1500</v>
      </c>
      <c r="J91" s="188">
        <f t="shared" si="17"/>
        <v>-1500</v>
      </c>
      <c r="K91" s="663"/>
      <c r="L91" s="674" t="s">
        <v>751</v>
      </c>
      <c r="M91" s="694"/>
      <c r="N91" s="672"/>
      <c r="O91" s="672"/>
      <c r="P91" s="672"/>
      <c r="Q91" s="672"/>
      <c r="R91" s="672"/>
      <c r="S91" s="672"/>
      <c r="T91" s="672"/>
      <c r="U91" s="672"/>
      <c r="V91" s="672"/>
      <c r="W91" s="672"/>
      <c r="X91" s="672"/>
      <c r="Y91" s="672"/>
      <c r="Z91" s="672"/>
      <c r="AA91" s="672"/>
      <c r="AB91" s="672"/>
      <c r="AC91" s="672"/>
      <c r="AD91" s="672"/>
      <c r="AE91" s="672"/>
      <c r="AF91" s="672"/>
      <c r="AG91" s="672"/>
      <c r="AH91" s="672"/>
      <c r="AI91" s="672"/>
      <c r="AJ91" s="672"/>
      <c r="AK91" s="672"/>
      <c r="AL91" s="672"/>
      <c r="AM91" s="672"/>
      <c r="AN91" s="672"/>
      <c r="AO91" s="672"/>
      <c r="AP91" s="672"/>
      <c r="AQ91" s="672"/>
      <c r="AR91" s="672"/>
    </row>
    <row r="92" spans="1:44" s="311" customFormat="1" ht="51.75" customHeight="1">
      <c r="A92" s="149" t="s">
        <v>767</v>
      </c>
      <c r="B92" s="121" t="s">
        <v>752</v>
      </c>
      <c r="C92" s="188">
        <v>0</v>
      </c>
      <c r="D92" s="183">
        <v>0</v>
      </c>
      <c r="E92" s="183">
        <f>-(1279)</f>
        <v>-1279</v>
      </c>
      <c r="F92" s="244">
        <f t="shared" si="13"/>
        <v>-86.6</v>
      </c>
      <c r="G92" s="188">
        <f>-(0)</f>
        <v>0</v>
      </c>
      <c r="H92" s="188">
        <f>-(86.6)</f>
        <v>-86.6</v>
      </c>
      <c r="I92" s="188">
        <f>-(0)</f>
        <v>0</v>
      </c>
      <c r="J92" s="188">
        <f>-(0)</f>
        <v>0</v>
      </c>
      <c r="K92" s="654" t="s">
        <v>766</v>
      </c>
      <c r="L92" s="681"/>
      <c r="M92" s="749" t="s">
        <v>744</v>
      </c>
      <c r="N92" s="672">
        <v>38.1</v>
      </c>
      <c r="O92" s="672">
        <v>611.9</v>
      </c>
      <c r="P92" s="676">
        <f>SUM(N92:O92)</f>
        <v>650</v>
      </c>
      <c r="Q92" s="672"/>
      <c r="R92" s="672"/>
      <c r="S92" s="672"/>
      <c r="T92" s="672"/>
      <c r="U92" s="672"/>
      <c r="V92" s="672"/>
      <c r="W92" s="672"/>
      <c r="X92" s="672"/>
      <c r="Y92" s="672"/>
      <c r="Z92" s="672"/>
      <c r="AA92" s="672"/>
      <c r="AB92" s="672"/>
      <c r="AC92" s="672"/>
      <c r="AD92" s="672"/>
      <c r="AE92" s="672"/>
      <c r="AF92" s="672"/>
      <c r="AG92" s="672"/>
      <c r="AH92" s="672"/>
      <c r="AI92" s="672"/>
      <c r="AJ92" s="672"/>
      <c r="AK92" s="672"/>
      <c r="AL92" s="672"/>
      <c r="AM92" s="672"/>
      <c r="AN92" s="672"/>
      <c r="AO92" s="672"/>
      <c r="AP92" s="672"/>
      <c r="AQ92" s="672"/>
      <c r="AR92" s="672"/>
    </row>
    <row r="93" spans="1:44" s="311" customFormat="1" ht="24.75" customHeight="1">
      <c r="A93" s="149" t="s">
        <v>756</v>
      </c>
      <c r="B93" s="121" t="s">
        <v>753</v>
      </c>
      <c r="C93" s="188">
        <v>0</v>
      </c>
      <c r="D93" s="183">
        <v>0</v>
      </c>
      <c r="E93" s="183">
        <f>-(735.8)</f>
        <v>-735.8</v>
      </c>
      <c r="F93" s="244">
        <f t="shared" si="13"/>
        <v>-12.5</v>
      </c>
      <c r="G93" s="188">
        <f>-(0)</f>
        <v>0</v>
      </c>
      <c r="H93" s="188">
        <f>-(12.5)</f>
        <v>-12.5</v>
      </c>
      <c r="I93" s="188">
        <f>-(0)</f>
        <v>0</v>
      </c>
      <c r="J93" s="188">
        <f>-(0)</f>
        <v>0</v>
      </c>
      <c r="K93" s="654"/>
      <c r="L93" s="681"/>
      <c r="M93" s="749"/>
      <c r="N93" s="672">
        <v>8.4</v>
      </c>
      <c r="O93" s="672">
        <v>407.6</v>
      </c>
      <c r="P93" s="676">
        <f>SUM(N93:O93)</f>
        <v>416</v>
      </c>
      <c r="Q93" s="672"/>
      <c r="R93" s="672"/>
      <c r="S93" s="672"/>
      <c r="T93" s="672"/>
      <c r="U93" s="672"/>
      <c r="V93" s="672"/>
      <c r="W93" s="672"/>
      <c r="X93" s="672"/>
      <c r="Y93" s="672"/>
      <c r="Z93" s="672"/>
      <c r="AA93" s="672"/>
      <c r="AB93" s="672"/>
      <c r="AC93" s="672"/>
      <c r="AD93" s="672"/>
      <c r="AE93" s="672"/>
      <c r="AF93" s="672"/>
      <c r="AG93" s="672"/>
      <c r="AH93" s="672"/>
      <c r="AI93" s="672"/>
      <c r="AJ93" s="672"/>
      <c r="AK93" s="672"/>
      <c r="AL93" s="672"/>
      <c r="AM93" s="672"/>
      <c r="AN93" s="672"/>
      <c r="AO93" s="672"/>
      <c r="AP93" s="672"/>
      <c r="AQ93" s="672"/>
      <c r="AR93" s="672"/>
    </row>
    <row r="94" spans="1:44" s="311" customFormat="1" ht="40.5" customHeight="1">
      <c r="A94" s="149" t="s">
        <v>746</v>
      </c>
      <c r="B94" s="121">
        <v>1090</v>
      </c>
      <c r="C94" s="188"/>
      <c r="D94" s="183"/>
      <c r="E94" s="183">
        <f>-(258)</f>
        <v>-258</v>
      </c>
      <c r="F94" s="244">
        <f t="shared" si="13"/>
        <v>-283.46040000000005</v>
      </c>
      <c r="G94" s="188">
        <f>-(G43)</f>
        <v>-158.55600000000001</v>
      </c>
      <c r="H94" s="188">
        <f>-(H43)</f>
        <v>-30.0822</v>
      </c>
      <c r="I94" s="188">
        <f>-(I43)</f>
        <v>-19.222200000000001</v>
      </c>
      <c r="J94" s="188">
        <f>-(J43)</f>
        <v>-75.599999999999994</v>
      </c>
      <c r="K94" s="669"/>
      <c r="L94" s="681"/>
      <c r="M94" s="693"/>
      <c r="N94" s="703" t="s">
        <v>594</v>
      </c>
      <c r="O94" s="703" t="s">
        <v>593</v>
      </c>
      <c r="P94" s="676"/>
      <c r="Q94" s="672"/>
      <c r="R94" s="672"/>
      <c r="S94" s="672"/>
      <c r="T94" s="672"/>
      <c r="U94" s="672"/>
      <c r="V94" s="672"/>
      <c r="W94" s="672"/>
      <c r="X94" s="672"/>
      <c r="Y94" s="672"/>
      <c r="Z94" s="672"/>
      <c r="AA94" s="672"/>
      <c r="AB94" s="672"/>
      <c r="AC94" s="672"/>
      <c r="AD94" s="672"/>
      <c r="AE94" s="672"/>
      <c r="AF94" s="672"/>
      <c r="AG94" s="672"/>
      <c r="AH94" s="672"/>
      <c r="AI94" s="672"/>
      <c r="AJ94" s="672"/>
      <c r="AK94" s="672"/>
      <c r="AL94" s="672"/>
      <c r="AM94" s="672"/>
      <c r="AN94" s="672"/>
      <c r="AO94" s="672"/>
      <c r="AP94" s="672"/>
      <c r="AQ94" s="672"/>
      <c r="AR94" s="672"/>
    </row>
    <row r="95" spans="1:44" s="5" customFormat="1" ht="50.25" customHeight="1">
      <c r="A95" s="133" t="s">
        <v>1</v>
      </c>
      <c r="B95" s="119">
        <v>1100</v>
      </c>
      <c r="C95" s="205">
        <f t="shared" ref="C95:J95" si="18">C33+C34+C44+C73+C81</f>
        <v>6194.8000000000029</v>
      </c>
      <c r="D95" s="205">
        <f t="shared" si="18"/>
        <v>2628.9999999999854</v>
      </c>
      <c r="E95" s="205">
        <f t="shared" si="18"/>
        <v>1026.860000000037</v>
      </c>
      <c r="F95" s="205">
        <f t="shared" si="18"/>
        <v>853.45000000004075</v>
      </c>
      <c r="G95" s="190">
        <f t="shared" si="18"/>
        <v>199.00000000000364</v>
      </c>
      <c r="H95" s="190">
        <f t="shared" si="18"/>
        <v>176.20000000001073</v>
      </c>
      <c r="I95" s="190">
        <f t="shared" si="18"/>
        <v>0.65000000000509317</v>
      </c>
      <c r="J95" s="190">
        <f t="shared" si="18"/>
        <v>477.59999999999945</v>
      </c>
      <c r="K95" s="662"/>
      <c r="L95" s="696"/>
      <c r="M95" s="676"/>
      <c r="N95" s="676"/>
      <c r="O95" s="676"/>
      <c r="P95" s="676"/>
      <c r="Q95" s="676"/>
      <c r="R95" s="676"/>
      <c r="S95" s="676"/>
      <c r="T95" s="676"/>
      <c r="U95" s="676"/>
      <c r="V95" s="676"/>
      <c r="W95" s="676"/>
      <c r="X95" s="676"/>
      <c r="Y95" s="676"/>
      <c r="Z95" s="676"/>
      <c r="AA95" s="676"/>
      <c r="AB95" s="676"/>
      <c r="AC95" s="676"/>
      <c r="AD95" s="676"/>
      <c r="AE95" s="676"/>
      <c r="AF95" s="676"/>
      <c r="AG95" s="676"/>
      <c r="AH95" s="676"/>
      <c r="AI95" s="676"/>
      <c r="AJ95" s="676"/>
      <c r="AK95" s="676"/>
      <c r="AL95" s="676"/>
      <c r="AM95" s="676"/>
      <c r="AN95" s="676"/>
      <c r="AO95" s="676"/>
      <c r="AP95" s="676"/>
      <c r="AQ95" s="676"/>
      <c r="AR95" s="676"/>
    </row>
    <row r="96" spans="1:44" ht="21.75" customHeight="1">
      <c r="A96" s="132" t="s">
        <v>371</v>
      </c>
      <c r="B96" s="119">
        <v>1110</v>
      </c>
      <c r="C96" s="198"/>
      <c r="D96" s="187"/>
      <c r="E96" s="187">
        <v>0</v>
      </c>
      <c r="F96" s="187">
        <f>SUM(G96:J96)</f>
        <v>0</v>
      </c>
      <c r="G96" s="187">
        <v>0</v>
      </c>
      <c r="H96" s="187">
        <v>0</v>
      </c>
      <c r="I96" s="187">
        <v>0</v>
      </c>
      <c r="J96" s="187">
        <v>0</v>
      </c>
      <c r="K96" s="650"/>
      <c r="L96" s="681"/>
      <c r="M96" s="672"/>
      <c r="N96" s="672"/>
      <c r="O96" s="672"/>
      <c r="P96" s="672"/>
      <c r="Q96" s="672"/>
      <c r="R96" s="672"/>
      <c r="S96" s="672"/>
      <c r="T96" s="672"/>
      <c r="U96" s="672"/>
      <c r="V96" s="672"/>
      <c r="W96" s="672"/>
      <c r="X96" s="672"/>
      <c r="Y96" s="672"/>
      <c r="Z96" s="672"/>
      <c r="AA96" s="672"/>
      <c r="AB96" s="672"/>
      <c r="AC96" s="672"/>
      <c r="AD96" s="672"/>
      <c r="AE96" s="672"/>
      <c r="AF96" s="672"/>
      <c r="AG96" s="672"/>
      <c r="AH96" s="672"/>
      <c r="AI96" s="672"/>
      <c r="AJ96" s="672"/>
      <c r="AK96" s="672"/>
      <c r="AL96" s="672"/>
      <c r="AM96" s="672"/>
      <c r="AN96" s="672"/>
      <c r="AO96" s="672"/>
      <c r="AP96" s="672"/>
      <c r="AQ96" s="672"/>
      <c r="AR96" s="672"/>
    </row>
    <row r="97" spans="1:44" ht="78.75" customHeight="1">
      <c r="A97" s="132" t="s">
        <v>524</v>
      </c>
      <c r="B97" s="119">
        <v>1120</v>
      </c>
      <c r="C97" s="198"/>
      <c r="D97" s="187">
        <v>0</v>
      </c>
      <c r="E97" s="187">
        <v>0</v>
      </c>
      <c r="F97" s="187">
        <f>SUM(G97:J97)</f>
        <v>0</v>
      </c>
      <c r="G97" s="187">
        <v>0</v>
      </c>
      <c r="H97" s="187">
        <v>0</v>
      </c>
      <c r="I97" s="187">
        <v>0</v>
      </c>
      <c r="J97" s="187">
        <v>0</v>
      </c>
      <c r="K97" s="650"/>
      <c r="L97" s="681"/>
      <c r="M97" s="672"/>
      <c r="N97" s="672"/>
      <c r="O97" s="672"/>
      <c r="P97" s="672"/>
      <c r="Q97" s="672"/>
      <c r="R97" s="672"/>
      <c r="S97" s="672"/>
      <c r="T97" s="672"/>
      <c r="U97" s="672"/>
      <c r="V97" s="672"/>
      <c r="W97" s="672"/>
      <c r="X97" s="672"/>
      <c r="Y97" s="672"/>
      <c r="Z97" s="672"/>
      <c r="AA97" s="672"/>
      <c r="AB97" s="672"/>
      <c r="AC97" s="672"/>
      <c r="AD97" s="672"/>
      <c r="AE97" s="672"/>
      <c r="AF97" s="672"/>
      <c r="AG97" s="672"/>
      <c r="AH97" s="672"/>
      <c r="AI97" s="672"/>
      <c r="AJ97" s="672"/>
      <c r="AK97" s="672"/>
      <c r="AL97" s="672"/>
      <c r="AM97" s="672"/>
      <c r="AN97" s="672"/>
      <c r="AO97" s="672"/>
      <c r="AP97" s="672"/>
      <c r="AQ97" s="672"/>
      <c r="AR97" s="672"/>
    </row>
    <row r="98" spans="1:44" ht="21.75" customHeight="1">
      <c r="A98" s="132" t="s">
        <v>383</v>
      </c>
      <c r="B98" s="119">
        <v>1130</v>
      </c>
      <c r="C98" s="179">
        <v>0</v>
      </c>
      <c r="D98" s="180">
        <v>0</v>
      </c>
      <c r="E98" s="180">
        <v>0</v>
      </c>
      <c r="F98" s="180">
        <f>SUM(G98:J98)</f>
        <v>0</v>
      </c>
      <c r="G98" s="180">
        <v>0</v>
      </c>
      <c r="H98" s="180">
        <v>0</v>
      </c>
      <c r="I98" s="180">
        <v>0</v>
      </c>
      <c r="J98" s="180">
        <v>0</v>
      </c>
      <c r="K98" s="650"/>
      <c r="L98" s="681"/>
      <c r="M98" s="672"/>
      <c r="N98" s="672"/>
      <c r="O98" s="672"/>
      <c r="P98" s="672"/>
      <c r="Q98" s="672"/>
      <c r="R98" s="672"/>
      <c r="S98" s="672"/>
      <c r="T98" s="672"/>
      <c r="U98" s="672"/>
      <c r="V98" s="672"/>
      <c r="W98" s="672"/>
      <c r="X98" s="672"/>
      <c r="Y98" s="672"/>
      <c r="Z98" s="672"/>
      <c r="AA98" s="672"/>
      <c r="AB98" s="672"/>
      <c r="AC98" s="672"/>
      <c r="AD98" s="672"/>
      <c r="AE98" s="672"/>
      <c r="AF98" s="672"/>
      <c r="AG98" s="672"/>
      <c r="AH98" s="672"/>
      <c r="AI98" s="672"/>
      <c r="AJ98" s="672"/>
      <c r="AK98" s="672"/>
      <c r="AL98" s="672"/>
      <c r="AM98" s="672"/>
      <c r="AN98" s="672"/>
      <c r="AO98" s="672"/>
      <c r="AP98" s="672"/>
      <c r="AQ98" s="672"/>
      <c r="AR98" s="672"/>
    </row>
    <row r="99" spans="1:44" ht="18.75" customHeight="1">
      <c r="A99" s="132" t="s">
        <v>387</v>
      </c>
      <c r="B99" s="119">
        <v>1140</v>
      </c>
      <c r="C99" s="179">
        <v>0</v>
      </c>
      <c r="D99" s="180">
        <v>0</v>
      </c>
      <c r="E99" s="180">
        <v>0</v>
      </c>
      <c r="F99" s="180">
        <f>SUM(G99:J99)</f>
        <v>0</v>
      </c>
      <c r="G99" s="180">
        <v>0</v>
      </c>
      <c r="H99" s="180">
        <v>0</v>
      </c>
      <c r="I99" s="180">
        <v>0</v>
      </c>
      <c r="J99" s="180">
        <v>0</v>
      </c>
      <c r="K99" s="650"/>
      <c r="L99" s="681"/>
      <c r="M99" s="672"/>
      <c r="N99" s="672"/>
      <c r="O99" s="672"/>
      <c r="P99" s="672"/>
      <c r="Q99" s="672"/>
      <c r="R99" s="672"/>
      <c r="S99" s="672"/>
      <c r="T99" s="672"/>
      <c r="U99" s="672"/>
      <c r="V99" s="672"/>
      <c r="W99" s="672"/>
      <c r="X99" s="672"/>
      <c r="Y99" s="672"/>
      <c r="Z99" s="672"/>
      <c r="AA99" s="672"/>
      <c r="AB99" s="672"/>
      <c r="AC99" s="672"/>
      <c r="AD99" s="672"/>
      <c r="AE99" s="672"/>
      <c r="AF99" s="672"/>
      <c r="AG99" s="672"/>
      <c r="AH99" s="672"/>
      <c r="AI99" s="672"/>
      <c r="AJ99" s="672"/>
      <c r="AK99" s="672"/>
      <c r="AL99" s="672"/>
      <c r="AM99" s="672"/>
      <c r="AN99" s="672"/>
      <c r="AO99" s="672"/>
      <c r="AP99" s="672"/>
      <c r="AQ99" s="672"/>
      <c r="AR99" s="672"/>
    </row>
    <row r="100" spans="1:44" ht="18.75" customHeight="1">
      <c r="A100" s="132" t="s">
        <v>388</v>
      </c>
      <c r="B100" s="119">
        <v>1150</v>
      </c>
      <c r="C100" s="198">
        <f>C102+C103</f>
        <v>1129.1000000000001</v>
      </c>
      <c r="D100" s="187">
        <f>SUM(D101:D103)</f>
        <v>1209.2</v>
      </c>
      <c r="E100" s="187">
        <f>SUM(E101:E103)</f>
        <v>1272.7</v>
      </c>
      <c r="F100" s="187">
        <f>SUM(G100:J100)</f>
        <v>1346.5</v>
      </c>
      <c r="G100" s="187">
        <f>G102</f>
        <v>336.7</v>
      </c>
      <c r="H100" s="187">
        <f>H102</f>
        <v>336.6</v>
      </c>
      <c r="I100" s="187">
        <f>I102+I103</f>
        <v>336.6</v>
      </c>
      <c r="J100" s="187">
        <f>J102</f>
        <v>336.6</v>
      </c>
      <c r="K100" s="650"/>
      <c r="L100" s="681"/>
      <c r="M100" s="672"/>
      <c r="N100" s="672"/>
      <c r="O100" s="672"/>
      <c r="P100" s="672"/>
      <c r="Q100" s="672"/>
      <c r="R100" s="672"/>
      <c r="S100" s="672"/>
      <c r="T100" s="672"/>
      <c r="U100" s="672"/>
      <c r="V100" s="672"/>
      <c r="W100" s="672"/>
      <c r="X100" s="672"/>
      <c r="Y100" s="672"/>
      <c r="Z100" s="672"/>
      <c r="AA100" s="672"/>
      <c r="AB100" s="672"/>
      <c r="AC100" s="672"/>
      <c r="AD100" s="672"/>
      <c r="AE100" s="672"/>
      <c r="AF100" s="672"/>
      <c r="AG100" s="672"/>
      <c r="AH100" s="672"/>
      <c r="AI100" s="672"/>
      <c r="AJ100" s="672"/>
      <c r="AK100" s="672"/>
      <c r="AL100" s="672"/>
      <c r="AM100" s="672"/>
      <c r="AN100" s="672"/>
      <c r="AO100" s="672"/>
      <c r="AP100" s="672"/>
      <c r="AQ100" s="672"/>
      <c r="AR100" s="672"/>
    </row>
    <row r="101" spans="1:44" ht="33.75" customHeight="1">
      <c r="A101" s="87" t="s">
        <v>474</v>
      </c>
      <c r="B101" s="99" t="s">
        <v>475</v>
      </c>
      <c r="C101" s="188" t="s">
        <v>218</v>
      </c>
      <c r="D101" s="188" t="s">
        <v>218</v>
      </c>
      <c r="E101" s="188" t="s">
        <v>218</v>
      </c>
      <c r="F101" s="180" t="s">
        <v>218</v>
      </c>
      <c r="G101" s="188" t="s">
        <v>218</v>
      </c>
      <c r="H101" s="188" t="s">
        <v>218</v>
      </c>
      <c r="I101" s="188" t="s">
        <v>218</v>
      </c>
      <c r="J101" s="188" t="s">
        <v>218</v>
      </c>
      <c r="K101" s="650"/>
      <c r="L101" s="681"/>
      <c r="M101" s="672"/>
      <c r="N101" s="672"/>
      <c r="O101" s="672"/>
      <c r="P101" s="672"/>
      <c r="Q101" s="672"/>
      <c r="R101" s="672"/>
      <c r="S101" s="672"/>
      <c r="T101" s="672"/>
      <c r="U101" s="672"/>
      <c r="V101" s="672"/>
      <c r="W101" s="672"/>
      <c r="X101" s="672"/>
      <c r="Y101" s="672"/>
      <c r="Z101" s="672"/>
      <c r="AA101" s="672"/>
      <c r="AB101" s="672"/>
      <c r="AC101" s="672"/>
      <c r="AD101" s="672"/>
      <c r="AE101" s="672"/>
      <c r="AF101" s="672"/>
      <c r="AG101" s="672"/>
      <c r="AH101" s="672"/>
      <c r="AI101" s="672"/>
      <c r="AJ101" s="672"/>
      <c r="AK101" s="672"/>
      <c r="AL101" s="672"/>
      <c r="AM101" s="672"/>
      <c r="AN101" s="672"/>
      <c r="AO101" s="672"/>
      <c r="AP101" s="672"/>
      <c r="AQ101" s="672"/>
      <c r="AR101" s="672"/>
    </row>
    <row r="102" spans="1:44" ht="30" customHeight="1">
      <c r="A102" s="87" t="s">
        <v>476</v>
      </c>
      <c r="B102" s="99" t="s">
        <v>477</v>
      </c>
      <c r="C102" s="196">
        <v>1109.9000000000001</v>
      </c>
      <c r="D102" s="188">
        <v>1209.2</v>
      </c>
      <c r="E102" s="188">
        <v>1272.7</v>
      </c>
      <c r="F102" s="180">
        <f>SUM(G102:J102)</f>
        <v>1346.5</v>
      </c>
      <c r="G102" s="188">
        <v>336.7</v>
      </c>
      <c r="H102" s="188">
        <v>336.6</v>
      </c>
      <c r="I102" s="188">
        <v>336.6</v>
      </c>
      <c r="J102" s="188">
        <v>336.6</v>
      </c>
      <c r="K102" s="650"/>
      <c r="L102" s="681"/>
      <c r="M102" s="672"/>
      <c r="N102" s="672"/>
      <c r="O102" s="672"/>
      <c r="P102" s="672"/>
      <c r="Q102" s="672"/>
      <c r="R102" s="672"/>
      <c r="S102" s="672"/>
      <c r="T102" s="672"/>
      <c r="U102" s="672"/>
      <c r="V102" s="672"/>
      <c r="W102" s="672"/>
      <c r="X102" s="672"/>
      <c r="Y102" s="672"/>
      <c r="Z102" s="672"/>
      <c r="AA102" s="672"/>
      <c r="AB102" s="672"/>
      <c r="AC102" s="672"/>
      <c r="AD102" s="672"/>
      <c r="AE102" s="672"/>
      <c r="AF102" s="672"/>
      <c r="AG102" s="672"/>
      <c r="AH102" s="672"/>
      <c r="AI102" s="672"/>
      <c r="AJ102" s="672"/>
      <c r="AK102" s="672"/>
      <c r="AL102" s="672"/>
      <c r="AM102" s="672"/>
      <c r="AN102" s="672"/>
      <c r="AO102" s="672"/>
      <c r="AP102" s="672"/>
      <c r="AQ102" s="672"/>
      <c r="AR102" s="672"/>
    </row>
    <row r="103" spans="1:44" ht="30" customHeight="1">
      <c r="A103" s="87" t="s">
        <v>525</v>
      </c>
      <c r="B103" s="99" t="s">
        <v>596</v>
      </c>
      <c r="C103" s="196">
        <v>19.2</v>
      </c>
      <c r="D103" s="188"/>
      <c r="E103" s="188"/>
      <c r="F103" s="180">
        <f>SUM(G103:J103)</f>
        <v>0</v>
      </c>
      <c r="G103" s="188" t="s">
        <v>218</v>
      </c>
      <c r="H103" s="188" t="s">
        <v>218</v>
      </c>
      <c r="I103" s="312">
        <v>0</v>
      </c>
      <c r="J103" s="312" t="s">
        <v>218</v>
      </c>
      <c r="K103" s="650"/>
      <c r="L103" s="681"/>
      <c r="M103" s="672"/>
      <c r="N103" s="672"/>
      <c r="O103" s="672"/>
      <c r="P103" s="672"/>
      <c r="Q103" s="672"/>
      <c r="R103" s="672"/>
      <c r="S103" s="672"/>
      <c r="T103" s="672"/>
      <c r="U103" s="672"/>
      <c r="V103" s="672"/>
      <c r="W103" s="672"/>
      <c r="X103" s="672"/>
      <c r="Y103" s="672"/>
      <c r="Z103" s="672"/>
      <c r="AA103" s="672"/>
      <c r="AB103" s="672"/>
      <c r="AC103" s="672"/>
      <c r="AD103" s="672"/>
      <c r="AE103" s="672"/>
      <c r="AF103" s="672"/>
      <c r="AG103" s="672"/>
      <c r="AH103" s="672"/>
      <c r="AI103" s="672"/>
      <c r="AJ103" s="672"/>
      <c r="AK103" s="672"/>
      <c r="AL103" s="672"/>
      <c r="AM103" s="672"/>
      <c r="AN103" s="672"/>
      <c r="AO103" s="672"/>
      <c r="AP103" s="672"/>
      <c r="AQ103" s="672"/>
      <c r="AR103" s="672"/>
    </row>
    <row r="104" spans="1:44" ht="37.5" customHeight="1">
      <c r="A104" s="132" t="s">
        <v>384</v>
      </c>
      <c r="B104" s="119">
        <v>1160</v>
      </c>
      <c r="C104" s="198">
        <f>C105+C107+C106</f>
        <v>0</v>
      </c>
      <c r="D104" s="198">
        <f>D105+D107+D106</f>
        <v>0</v>
      </c>
      <c r="E104" s="198">
        <f>E105+E107+E106</f>
        <v>0</v>
      </c>
      <c r="F104" s="187">
        <v>0</v>
      </c>
      <c r="G104" s="187">
        <v>0</v>
      </c>
      <c r="H104" s="187">
        <v>0</v>
      </c>
      <c r="I104" s="187">
        <v>0</v>
      </c>
      <c r="J104" s="187">
        <v>0</v>
      </c>
      <c r="K104" s="650"/>
      <c r="L104" s="681"/>
      <c r="M104" s="672"/>
      <c r="N104" s="672"/>
      <c r="O104" s="672"/>
      <c r="P104" s="672"/>
      <c r="Q104" s="672"/>
      <c r="R104" s="672"/>
      <c r="S104" s="672"/>
      <c r="T104" s="672"/>
      <c r="U104" s="672"/>
      <c r="V104" s="672"/>
      <c r="W104" s="672"/>
      <c r="X104" s="672"/>
      <c r="Y104" s="672"/>
      <c r="Z104" s="672"/>
      <c r="AA104" s="672"/>
      <c r="AB104" s="672"/>
      <c r="AC104" s="672"/>
      <c r="AD104" s="672"/>
      <c r="AE104" s="672"/>
      <c r="AF104" s="672"/>
      <c r="AG104" s="672"/>
      <c r="AH104" s="672"/>
      <c r="AI104" s="672"/>
      <c r="AJ104" s="672"/>
      <c r="AK104" s="672"/>
      <c r="AL104" s="672"/>
      <c r="AM104" s="672"/>
      <c r="AN104" s="672"/>
      <c r="AO104" s="672"/>
      <c r="AP104" s="672"/>
      <c r="AQ104" s="672"/>
      <c r="AR104" s="672"/>
    </row>
    <row r="105" spans="1:44" ht="28.5" customHeight="1">
      <c r="A105" s="87" t="s">
        <v>478</v>
      </c>
      <c r="B105" s="99" t="s">
        <v>479</v>
      </c>
      <c r="C105" s="196"/>
      <c r="D105" s="188"/>
      <c r="E105" s="188"/>
      <c r="F105" s="189" t="s">
        <v>218</v>
      </c>
      <c r="G105" s="188" t="s">
        <v>218</v>
      </c>
      <c r="H105" s="188" t="s">
        <v>218</v>
      </c>
      <c r="I105" s="188" t="s">
        <v>218</v>
      </c>
      <c r="J105" s="188" t="s">
        <v>218</v>
      </c>
      <c r="K105" s="650"/>
      <c r="L105" s="681"/>
      <c r="M105" s="672"/>
      <c r="N105" s="672"/>
      <c r="O105" s="672"/>
      <c r="P105" s="672"/>
      <c r="Q105" s="672"/>
      <c r="R105" s="672"/>
      <c r="S105" s="672"/>
      <c r="T105" s="672"/>
      <c r="U105" s="672"/>
      <c r="V105" s="672"/>
      <c r="W105" s="672"/>
      <c r="X105" s="672"/>
      <c r="Y105" s="672"/>
      <c r="Z105" s="672"/>
      <c r="AA105" s="672"/>
      <c r="AB105" s="672"/>
      <c r="AC105" s="672"/>
      <c r="AD105" s="672"/>
      <c r="AE105" s="672"/>
      <c r="AF105" s="672"/>
      <c r="AG105" s="672"/>
      <c r="AH105" s="672"/>
      <c r="AI105" s="672"/>
      <c r="AJ105" s="672"/>
      <c r="AK105" s="672"/>
      <c r="AL105" s="672"/>
      <c r="AM105" s="672"/>
      <c r="AN105" s="672"/>
      <c r="AO105" s="672"/>
      <c r="AP105" s="672"/>
      <c r="AQ105" s="672"/>
      <c r="AR105" s="672"/>
    </row>
    <row r="106" spans="1:44" ht="28.5" customHeight="1">
      <c r="A106" s="87" t="s">
        <v>707</v>
      </c>
      <c r="B106" s="99" t="s">
        <v>526</v>
      </c>
      <c r="C106" s="196">
        <v>0</v>
      </c>
      <c r="D106" s="188">
        <v>0</v>
      </c>
      <c r="E106" s="188">
        <v>0</v>
      </c>
      <c r="F106" s="189" t="s">
        <v>218</v>
      </c>
      <c r="G106" s="188" t="s">
        <v>218</v>
      </c>
      <c r="H106" s="188" t="s">
        <v>218</v>
      </c>
      <c r="I106" s="188" t="s">
        <v>218</v>
      </c>
      <c r="J106" s="188" t="s">
        <v>218</v>
      </c>
      <c r="K106" s="650"/>
      <c r="L106" s="681"/>
      <c r="M106" s="672"/>
      <c r="N106" s="672"/>
      <c r="O106" s="672"/>
      <c r="P106" s="672"/>
      <c r="Q106" s="672"/>
      <c r="R106" s="672"/>
      <c r="S106" s="672"/>
      <c r="T106" s="672"/>
      <c r="U106" s="672"/>
      <c r="V106" s="672"/>
      <c r="W106" s="672"/>
      <c r="X106" s="672"/>
      <c r="Y106" s="672"/>
      <c r="Z106" s="672"/>
      <c r="AA106" s="672"/>
      <c r="AB106" s="672"/>
      <c r="AC106" s="672"/>
      <c r="AD106" s="672"/>
      <c r="AE106" s="672"/>
      <c r="AF106" s="672"/>
      <c r="AG106" s="672"/>
      <c r="AH106" s="672"/>
      <c r="AI106" s="672"/>
      <c r="AJ106" s="672"/>
      <c r="AK106" s="672"/>
      <c r="AL106" s="672"/>
      <c r="AM106" s="672"/>
      <c r="AN106" s="672"/>
      <c r="AO106" s="672"/>
      <c r="AP106" s="672"/>
      <c r="AQ106" s="672"/>
      <c r="AR106" s="672"/>
    </row>
    <row r="107" spans="1:44" ht="34.5" customHeight="1">
      <c r="A107" s="87" t="s">
        <v>731</v>
      </c>
      <c r="B107" s="99">
        <v>1161</v>
      </c>
      <c r="C107" s="196">
        <v>0</v>
      </c>
      <c r="D107" s="188"/>
      <c r="E107" s="188"/>
      <c r="F107" s="189" t="s">
        <v>218</v>
      </c>
      <c r="G107" s="188" t="s">
        <v>218</v>
      </c>
      <c r="H107" s="188" t="s">
        <v>218</v>
      </c>
      <c r="I107" s="188" t="s">
        <v>218</v>
      </c>
      <c r="J107" s="188" t="s">
        <v>218</v>
      </c>
      <c r="K107" s="650"/>
      <c r="L107" s="681"/>
      <c r="M107" s="672"/>
      <c r="N107" s="672"/>
      <c r="O107" s="672"/>
      <c r="P107" s="672"/>
      <c r="Q107" s="672"/>
      <c r="R107" s="672"/>
      <c r="S107" s="672"/>
      <c r="T107" s="672"/>
      <c r="U107" s="672"/>
      <c r="V107" s="672"/>
      <c r="W107" s="672"/>
      <c r="X107" s="672"/>
      <c r="Y107" s="672"/>
      <c r="Z107" s="672"/>
      <c r="AA107" s="672"/>
      <c r="AB107" s="672"/>
      <c r="AC107" s="672"/>
      <c r="AD107" s="672"/>
      <c r="AE107" s="672"/>
      <c r="AF107" s="672"/>
      <c r="AG107" s="672"/>
      <c r="AH107" s="672"/>
      <c r="AI107" s="672"/>
      <c r="AJ107" s="672"/>
      <c r="AK107" s="672"/>
      <c r="AL107" s="672"/>
      <c r="AM107" s="672"/>
      <c r="AN107" s="672"/>
      <c r="AO107" s="672"/>
      <c r="AP107" s="672"/>
      <c r="AQ107" s="672"/>
      <c r="AR107" s="672"/>
    </row>
    <row r="108" spans="1:44" s="5" customFormat="1" ht="42" customHeight="1">
      <c r="A108" s="133" t="s">
        <v>74</v>
      </c>
      <c r="B108" s="119">
        <v>1170</v>
      </c>
      <c r="C108" s="205">
        <f>SUM(C95,C96,C97,C98,C99,C100,C104)</f>
        <v>7323.9000000000033</v>
      </c>
      <c r="D108" s="190">
        <f t="shared" ref="D108:J108" si="19">SUM(D95,D96,D97,D98,D99,D100,D104)</f>
        <v>3838.1999999999853</v>
      </c>
      <c r="E108" s="190">
        <f>SUM(E95,E96,E97,E98,E99,E100,E104)</f>
        <v>2299.5600000000368</v>
      </c>
      <c r="F108" s="191">
        <f>SUM(F95,F96,F97,F98,F99,F100,F104)</f>
        <v>2199.9500000000407</v>
      </c>
      <c r="G108" s="191">
        <f>SUM(G95,G96,G97,G98,G99,G100,G104)</f>
        <v>535.70000000000368</v>
      </c>
      <c r="H108" s="190">
        <f t="shared" si="19"/>
        <v>512.80000000001075</v>
      </c>
      <c r="I108" s="190">
        <f t="shared" si="19"/>
        <v>337.25000000000512</v>
      </c>
      <c r="J108" s="190">
        <f t="shared" si="19"/>
        <v>814.19999999999948</v>
      </c>
      <c r="K108" s="662"/>
      <c r="L108" s="696"/>
      <c r="M108" s="676">
        <v>1292</v>
      </c>
      <c r="N108" s="676"/>
      <c r="O108" s="676"/>
      <c r="P108" s="676"/>
      <c r="Q108" s="676"/>
      <c r="R108" s="676"/>
      <c r="S108" s="676"/>
      <c r="T108" s="676"/>
      <c r="U108" s="676"/>
      <c r="V108" s="676"/>
      <c r="W108" s="676"/>
      <c r="X108" s="676"/>
      <c r="Y108" s="676"/>
      <c r="Z108" s="676"/>
      <c r="AA108" s="676"/>
      <c r="AB108" s="676"/>
      <c r="AC108" s="676"/>
      <c r="AD108" s="676"/>
      <c r="AE108" s="676"/>
      <c r="AF108" s="676"/>
      <c r="AG108" s="676"/>
      <c r="AH108" s="676"/>
      <c r="AI108" s="676"/>
      <c r="AJ108" s="676"/>
      <c r="AK108" s="676"/>
      <c r="AL108" s="676"/>
      <c r="AM108" s="676"/>
      <c r="AN108" s="676"/>
      <c r="AO108" s="676"/>
      <c r="AP108" s="676"/>
      <c r="AQ108" s="676"/>
      <c r="AR108" s="676"/>
    </row>
    <row r="109" spans="1:44" ht="39.75" customHeight="1">
      <c r="A109" s="132" t="s">
        <v>100</v>
      </c>
      <c r="B109" s="119">
        <v>1180</v>
      </c>
      <c r="C109" s="198" t="s">
        <v>218</v>
      </c>
      <c r="D109" s="187" t="s">
        <v>218</v>
      </c>
      <c r="E109" s="187" t="s">
        <v>218</v>
      </c>
      <c r="F109" s="187" t="s">
        <v>218</v>
      </c>
      <c r="G109" s="186" t="s">
        <v>218</v>
      </c>
      <c r="H109" s="187" t="s">
        <v>218</v>
      </c>
      <c r="I109" s="187" t="s">
        <v>218</v>
      </c>
      <c r="J109" s="187" t="s">
        <v>218</v>
      </c>
      <c r="K109" s="650"/>
      <c r="L109" s="681"/>
      <c r="M109" s="672"/>
      <c r="N109" s="672"/>
      <c r="O109" s="672"/>
      <c r="P109" s="672"/>
      <c r="Q109" s="672"/>
      <c r="R109" s="672"/>
      <c r="S109" s="672"/>
      <c r="T109" s="672"/>
      <c r="U109" s="672"/>
      <c r="V109" s="672"/>
      <c r="W109" s="672"/>
      <c r="X109" s="672"/>
      <c r="Y109" s="672"/>
      <c r="Z109" s="672"/>
      <c r="AA109" s="672"/>
      <c r="AB109" s="672"/>
      <c r="AC109" s="672"/>
      <c r="AD109" s="672"/>
      <c r="AE109" s="672"/>
      <c r="AF109" s="672"/>
      <c r="AG109" s="672"/>
      <c r="AH109" s="672"/>
      <c r="AI109" s="672"/>
      <c r="AJ109" s="672"/>
      <c r="AK109" s="672"/>
      <c r="AL109" s="672"/>
      <c r="AM109" s="672"/>
      <c r="AN109" s="672"/>
      <c r="AO109" s="672"/>
      <c r="AP109" s="672"/>
      <c r="AQ109" s="672"/>
      <c r="AR109" s="672"/>
    </row>
    <row r="110" spans="1:44" ht="50.25" customHeight="1">
      <c r="A110" s="139" t="s">
        <v>101</v>
      </c>
      <c r="B110" s="119">
        <v>1190</v>
      </c>
      <c r="C110" s="179" t="s">
        <v>218</v>
      </c>
      <c r="D110" s="180" t="s">
        <v>218</v>
      </c>
      <c r="E110" s="180" t="s">
        <v>218</v>
      </c>
      <c r="F110" s="180" t="s">
        <v>218</v>
      </c>
      <c r="G110" s="189" t="s">
        <v>218</v>
      </c>
      <c r="H110" s="180" t="s">
        <v>218</v>
      </c>
      <c r="I110" s="180" t="s">
        <v>218</v>
      </c>
      <c r="J110" s="180" t="s">
        <v>218</v>
      </c>
      <c r="K110" s="650"/>
      <c r="L110" s="681"/>
      <c r="M110" s="672"/>
      <c r="N110" s="672"/>
      <c r="O110" s="672"/>
      <c r="P110" s="672"/>
      <c r="Q110" s="672"/>
      <c r="R110" s="672"/>
      <c r="S110" s="672"/>
      <c r="T110" s="672"/>
      <c r="U110" s="672"/>
      <c r="V110" s="672"/>
      <c r="W110" s="672"/>
      <c r="X110" s="672"/>
      <c r="Y110" s="672"/>
      <c r="Z110" s="672"/>
      <c r="AA110" s="672"/>
      <c r="AB110" s="672"/>
      <c r="AC110" s="672"/>
      <c r="AD110" s="672"/>
      <c r="AE110" s="672"/>
      <c r="AF110" s="672"/>
      <c r="AG110" s="672"/>
      <c r="AH110" s="672"/>
      <c r="AI110" s="672"/>
      <c r="AJ110" s="672"/>
      <c r="AK110" s="672"/>
      <c r="AL110" s="672"/>
      <c r="AM110" s="672"/>
      <c r="AN110" s="672"/>
      <c r="AO110" s="672"/>
      <c r="AP110" s="672"/>
      <c r="AQ110" s="672"/>
      <c r="AR110" s="672"/>
    </row>
    <row r="111" spans="1:44" s="5" customFormat="1" ht="38.25" customHeight="1">
      <c r="A111" s="133" t="s">
        <v>75</v>
      </c>
      <c r="B111" s="119">
        <v>1200</v>
      </c>
      <c r="C111" s="619">
        <f>SUM(C108,C109,C110)</f>
        <v>7323.9000000000033</v>
      </c>
      <c r="D111" s="193">
        <f>SUM(D108,D109,D110)</f>
        <v>3838.1999999999853</v>
      </c>
      <c r="E111" s="193">
        <f>SUM(E108,E109,E110)</f>
        <v>2299.5600000000368</v>
      </c>
      <c r="F111" s="193">
        <f>SUM(G111:J111)</f>
        <v>2199.9500000000189</v>
      </c>
      <c r="G111" s="231">
        <f>SUM(G108,G109,G110)</f>
        <v>535.70000000000368</v>
      </c>
      <c r="H111" s="193">
        <f>SUM(H108,H109,H110)</f>
        <v>512.80000000001075</v>
      </c>
      <c r="I111" s="193">
        <f>SUM(I108,I109,I110)</f>
        <v>337.25000000000512</v>
      </c>
      <c r="J111" s="193">
        <f>SUM(J108,J109,J110)</f>
        <v>814.19999999999948</v>
      </c>
      <c r="K111" s="662"/>
      <c r="L111" s="696"/>
      <c r="M111" s="676"/>
      <c r="N111" s="676"/>
      <c r="O111" s="676"/>
      <c r="P111" s="676"/>
      <c r="Q111" s="676"/>
      <c r="R111" s="676"/>
      <c r="S111" s="676"/>
      <c r="T111" s="676"/>
      <c r="U111" s="676"/>
      <c r="V111" s="676"/>
      <c r="W111" s="676"/>
      <c r="X111" s="676"/>
      <c r="Y111" s="676"/>
      <c r="Z111" s="676"/>
      <c r="AA111" s="676"/>
      <c r="AB111" s="676"/>
      <c r="AC111" s="676"/>
      <c r="AD111" s="676"/>
      <c r="AE111" s="676"/>
      <c r="AF111" s="676"/>
      <c r="AG111" s="676"/>
      <c r="AH111" s="676"/>
      <c r="AI111" s="676"/>
      <c r="AJ111" s="676"/>
      <c r="AK111" s="676"/>
      <c r="AL111" s="676"/>
      <c r="AM111" s="676"/>
      <c r="AN111" s="676"/>
      <c r="AO111" s="676"/>
      <c r="AP111" s="676"/>
      <c r="AQ111" s="676"/>
      <c r="AR111" s="676"/>
    </row>
    <row r="112" spans="1:44" ht="24" customHeight="1">
      <c r="A112" s="8" t="s">
        <v>18</v>
      </c>
      <c r="B112" s="96">
        <v>1201</v>
      </c>
      <c r="C112" s="183">
        <f>C111</f>
        <v>7323.9000000000033</v>
      </c>
      <c r="D112" s="183">
        <f>D111</f>
        <v>3838.1999999999853</v>
      </c>
      <c r="E112" s="183">
        <f>E111</f>
        <v>2299.5600000000368</v>
      </c>
      <c r="F112" s="180">
        <f>SUM(G112:J112)</f>
        <v>2199.9500000000189</v>
      </c>
      <c r="G112" s="183">
        <f>G111</f>
        <v>535.70000000000368</v>
      </c>
      <c r="H112" s="183">
        <f>H111</f>
        <v>512.80000000001075</v>
      </c>
      <c r="I112" s="183">
        <f>I111</f>
        <v>337.25000000000512</v>
      </c>
      <c r="J112" s="183">
        <f>J111</f>
        <v>814.19999999999948</v>
      </c>
      <c r="K112" s="650"/>
      <c r="L112" s="681"/>
      <c r="M112" s="683">
        <f>F112-E112</f>
        <v>-99.610000000017862</v>
      </c>
      <c r="N112" s="672"/>
      <c r="O112" s="672"/>
      <c r="P112" s="672"/>
      <c r="Q112" s="672"/>
      <c r="R112" s="672"/>
      <c r="S112" s="672"/>
      <c r="T112" s="672"/>
      <c r="U112" s="672"/>
      <c r="V112" s="672"/>
      <c r="W112" s="672"/>
      <c r="X112" s="672"/>
      <c r="Y112" s="672"/>
      <c r="Z112" s="672"/>
      <c r="AA112" s="672"/>
      <c r="AB112" s="672"/>
      <c r="AC112" s="672"/>
      <c r="AD112" s="672"/>
      <c r="AE112" s="672"/>
      <c r="AF112" s="672"/>
      <c r="AG112" s="672"/>
      <c r="AH112" s="672"/>
      <c r="AI112" s="672"/>
      <c r="AJ112" s="672"/>
      <c r="AK112" s="672"/>
      <c r="AL112" s="672"/>
      <c r="AM112" s="672"/>
      <c r="AN112" s="672"/>
      <c r="AO112" s="672"/>
      <c r="AP112" s="672"/>
      <c r="AQ112" s="672"/>
      <c r="AR112" s="672"/>
    </row>
    <row r="113" spans="1:44" ht="21" customHeight="1">
      <c r="A113" s="8" t="s">
        <v>19</v>
      </c>
      <c r="B113" s="96">
        <v>1202</v>
      </c>
      <c r="C113" s="81" t="s">
        <v>218</v>
      </c>
      <c r="D113" s="183" t="s">
        <v>218</v>
      </c>
      <c r="E113" s="183" t="s">
        <v>218</v>
      </c>
      <c r="F113" s="180">
        <f t="shared" ref="F113:F118" si="20">SUM(G113:J113)</f>
        <v>0</v>
      </c>
      <c r="G113" s="183" t="s">
        <v>218</v>
      </c>
      <c r="H113" s="183" t="s">
        <v>218</v>
      </c>
      <c r="I113" s="183" t="s">
        <v>218</v>
      </c>
      <c r="J113" s="183" t="s">
        <v>218</v>
      </c>
      <c r="K113" s="650"/>
      <c r="L113" s="681"/>
      <c r="M113" s="672"/>
      <c r="N113" s="672"/>
      <c r="O113" s="672"/>
      <c r="P113" s="672"/>
      <c r="Q113" s="672"/>
      <c r="R113" s="672"/>
      <c r="S113" s="672"/>
      <c r="T113" s="672"/>
      <c r="U113" s="672"/>
      <c r="V113" s="672"/>
      <c r="W113" s="672"/>
      <c r="X113" s="672"/>
      <c r="Y113" s="672"/>
      <c r="Z113" s="672"/>
      <c r="AA113" s="672"/>
      <c r="AB113" s="672"/>
      <c r="AC113" s="672"/>
      <c r="AD113" s="672"/>
      <c r="AE113" s="672"/>
      <c r="AF113" s="672"/>
      <c r="AG113" s="672"/>
      <c r="AH113" s="672"/>
      <c r="AI113" s="672"/>
      <c r="AJ113" s="672"/>
      <c r="AK113" s="672"/>
      <c r="AL113" s="672"/>
      <c r="AM113" s="672"/>
      <c r="AN113" s="672"/>
      <c r="AO113" s="672"/>
      <c r="AP113" s="672"/>
      <c r="AQ113" s="672"/>
      <c r="AR113" s="672"/>
    </row>
    <row r="114" spans="1:44" ht="18" customHeight="1">
      <c r="A114" s="87" t="s">
        <v>164</v>
      </c>
      <c r="B114" s="99">
        <v>1210</v>
      </c>
      <c r="C114" s="620"/>
      <c r="D114" s="188"/>
      <c r="E114" s="188"/>
      <c r="F114" s="189">
        <f t="shared" si="20"/>
        <v>0</v>
      </c>
      <c r="G114" s="188"/>
      <c r="H114" s="188"/>
      <c r="I114" s="188"/>
      <c r="J114" s="188"/>
      <c r="K114" s="650"/>
      <c r="L114" s="681"/>
      <c r="M114" s="672"/>
      <c r="N114" s="672"/>
      <c r="O114" s="672"/>
      <c r="P114" s="672"/>
      <c r="Q114" s="672"/>
      <c r="R114" s="672"/>
      <c r="S114" s="672"/>
      <c r="T114" s="672"/>
      <c r="U114" s="672"/>
      <c r="V114" s="672"/>
      <c r="W114" s="672"/>
      <c r="X114" s="672"/>
      <c r="Y114" s="672"/>
      <c r="Z114" s="672"/>
      <c r="AA114" s="672"/>
      <c r="AB114" s="672"/>
      <c r="AC114" s="672"/>
      <c r="AD114" s="672"/>
      <c r="AE114" s="672"/>
      <c r="AF114" s="672"/>
      <c r="AG114" s="672"/>
      <c r="AH114" s="672"/>
      <c r="AI114" s="672"/>
      <c r="AJ114" s="672"/>
      <c r="AK114" s="672"/>
      <c r="AL114" s="672"/>
      <c r="AM114" s="672"/>
      <c r="AN114" s="672"/>
      <c r="AO114" s="672"/>
      <c r="AP114" s="672"/>
      <c r="AQ114" s="672"/>
      <c r="AR114" s="672"/>
    </row>
    <row r="115" spans="1:44" s="5" customFormat="1" ht="15.75" customHeight="1">
      <c r="A115" s="755" t="s">
        <v>189</v>
      </c>
      <c r="B115" s="755"/>
      <c r="C115" s="755"/>
      <c r="D115" s="755"/>
      <c r="E115" s="755"/>
      <c r="F115" s="755"/>
      <c r="G115" s="755"/>
      <c r="H115" s="755"/>
      <c r="I115" s="755"/>
      <c r="J115" s="755"/>
      <c r="K115" s="756"/>
      <c r="L115" s="704"/>
      <c r="M115" s="676"/>
      <c r="N115" s="676"/>
      <c r="O115" s="676"/>
      <c r="P115" s="676"/>
      <c r="Q115" s="676"/>
      <c r="R115" s="676"/>
      <c r="S115" s="676"/>
      <c r="T115" s="676"/>
      <c r="U115" s="676"/>
      <c r="V115" s="676"/>
      <c r="W115" s="676"/>
      <c r="X115" s="676"/>
      <c r="Y115" s="676"/>
      <c r="Z115" s="676"/>
      <c r="AA115" s="676"/>
      <c r="AB115" s="676"/>
      <c r="AC115" s="676"/>
      <c r="AD115" s="676"/>
      <c r="AE115" s="676"/>
      <c r="AF115" s="676"/>
      <c r="AG115" s="676"/>
      <c r="AH115" s="676"/>
      <c r="AI115" s="676"/>
      <c r="AJ115" s="676"/>
      <c r="AK115" s="676"/>
      <c r="AL115" s="676"/>
      <c r="AM115" s="676"/>
      <c r="AN115" s="676"/>
      <c r="AO115" s="676"/>
      <c r="AP115" s="676"/>
      <c r="AQ115" s="676"/>
      <c r="AR115" s="676"/>
    </row>
    <row r="116" spans="1:44" ht="51" customHeight="1">
      <c r="A116" s="65" t="s">
        <v>385</v>
      </c>
      <c r="B116" s="96">
        <v>1300</v>
      </c>
      <c r="C116" s="180">
        <f>C34+C81</f>
        <v>3434.5999999999985</v>
      </c>
      <c r="D116" s="178">
        <f>D34+D81</f>
        <v>1790.8000000000029</v>
      </c>
      <c r="E116" s="178">
        <f>E34+E81</f>
        <v>-172.39999999999418</v>
      </c>
      <c r="F116" s="179">
        <f>SUM(G116:J116)</f>
        <v>853.49999999999909</v>
      </c>
      <c r="G116" s="178">
        <f>G34+G81</f>
        <v>213.29999999999927</v>
      </c>
      <c r="H116" s="236">
        <f>H34+H81</f>
        <v>213.40000000000055</v>
      </c>
      <c r="I116" s="178">
        <f>I34+I81</f>
        <v>213.39999999999964</v>
      </c>
      <c r="J116" s="178">
        <f>J34+J81</f>
        <v>213.39999999999964</v>
      </c>
      <c r="K116" s="650"/>
      <c r="L116" s="681"/>
      <c r="M116" s="672"/>
      <c r="N116" s="672"/>
      <c r="O116" s="672"/>
      <c r="P116" s="672"/>
      <c r="Q116" s="672"/>
      <c r="R116" s="672"/>
      <c r="S116" s="672"/>
      <c r="T116" s="672"/>
      <c r="U116" s="672"/>
      <c r="V116" s="672"/>
      <c r="W116" s="672"/>
      <c r="X116" s="672"/>
      <c r="Y116" s="672"/>
      <c r="Z116" s="672"/>
      <c r="AA116" s="672"/>
      <c r="AB116" s="672"/>
      <c r="AC116" s="672"/>
      <c r="AD116" s="672"/>
      <c r="AE116" s="672"/>
      <c r="AF116" s="672"/>
      <c r="AG116" s="672"/>
      <c r="AH116" s="672"/>
      <c r="AI116" s="672"/>
      <c r="AJ116" s="672"/>
      <c r="AK116" s="672"/>
      <c r="AL116" s="672"/>
      <c r="AM116" s="672"/>
      <c r="AN116" s="672"/>
      <c r="AO116" s="672"/>
      <c r="AP116" s="672"/>
      <c r="AQ116" s="672"/>
      <c r="AR116" s="672"/>
    </row>
    <row r="117" spans="1:44" ht="71.25" customHeight="1">
      <c r="A117" s="67" t="s">
        <v>390</v>
      </c>
      <c r="B117" s="96">
        <v>1310</v>
      </c>
      <c r="C117" s="180">
        <f>C96+C97-C98-C99</f>
        <v>0</v>
      </c>
      <c r="D117" s="178">
        <f>D96+D97-D98-D99</f>
        <v>0</v>
      </c>
      <c r="E117" s="178">
        <f>E96+E97-E98-E99</f>
        <v>0</v>
      </c>
      <c r="F117" s="179">
        <f t="shared" si="20"/>
        <v>0</v>
      </c>
      <c r="G117" s="178">
        <f>G96+G97-G98-G99</f>
        <v>0</v>
      </c>
      <c r="H117" s="178">
        <f>H96+H97-H98-H99</f>
        <v>0</v>
      </c>
      <c r="I117" s="178">
        <f>I96+I97-I98-I99</f>
        <v>0</v>
      </c>
      <c r="J117" s="178">
        <f>J96+J97-J98-J99</f>
        <v>0</v>
      </c>
      <c r="K117" s="650"/>
      <c r="L117" s="681"/>
      <c r="M117" s="672"/>
      <c r="N117" s="672"/>
      <c r="O117" s="672"/>
      <c r="P117" s="672"/>
      <c r="Q117" s="672"/>
      <c r="R117" s="672"/>
      <c r="S117" s="672"/>
      <c r="T117" s="672"/>
      <c r="U117" s="672"/>
      <c r="V117" s="672"/>
      <c r="W117" s="672"/>
      <c r="X117" s="672"/>
      <c r="Y117" s="672"/>
      <c r="Z117" s="672"/>
      <c r="AA117" s="672"/>
      <c r="AB117" s="672"/>
      <c r="AC117" s="672"/>
      <c r="AD117" s="672"/>
      <c r="AE117" s="672"/>
      <c r="AF117" s="672"/>
      <c r="AG117" s="672"/>
      <c r="AH117" s="672"/>
      <c r="AI117" s="672"/>
      <c r="AJ117" s="672"/>
      <c r="AK117" s="672"/>
      <c r="AL117" s="672"/>
      <c r="AM117" s="672"/>
      <c r="AN117" s="672"/>
      <c r="AO117" s="672"/>
      <c r="AP117" s="672"/>
      <c r="AQ117" s="672"/>
      <c r="AR117" s="672"/>
    </row>
    <row r="118" spans="1:44" ht="34.5" customHeight="1">
      <c r="A118" s="65" t="s">
        <v>386</v>
      </c>
      <c r="B118" s="96">
        <v>1320</v>
      </c>
      <c r="C118" s="179">
        <f>C100+C104</f>
        <v>1129.1000000000001</v>
      </c>
      <c r="D118" s="84">
        <f>D100+D104</f>
        <v>1209.2</v>
      </c>
      <c r="E118" s="178">
        <f>E100+E104</f>
        <v>1272.7</v>
      </c>
      <c r="F118" s="179">
        <f t="shared" si="20"/>
        <v>1346.5</v>
      </c>
      <c r="G118" s="178">
        <f>G100+G104</f>
        <v>336.7</v>
      </c>
      <c r="H118" s="178">
        <f>H100+H104</f>
        <v>336.6</v>
      </c>
      <c r="I118" s="178">
        <f>I100+I104</f>
        <v>336.6</v>
      </c>
      <c r="J118" s="178">
        <f>J100+J104</f>
        <v>336.6</v>
      </c>
      <c r="K118" s="650"/>
      <c r="L118" s="681"/>
      <c r="M118" s="672"/>
      <c r="N118" s="672"/>
      <c r="O118" s="672"/>
      <c r="P118" s="672"/>
      <c r="Q118" s="672"/>
      <c r="R118" s="672"/>
      <c r="S118" s="672"/>
      <c r="T118" s="672"/>
      <c r="U118" s="672"/>
      <c r="V118" s="672"/>
      <c r="W118" s="672"/>
      <c r="X118" s="672"/>
      <c r="Y118" s="672"/>
      <c r="Z118" s="672"/>
      <c r="AA118" s="672"/>
      <c r="AB118" s="672"/>
      <c r="AC118" s="672"/>
      <c r="AD118" s="672"/>
      <c r="AE118" s="672"/>
      <c r="AF118" s="672"/>
      <c r="AG118" s="672"/>
      <c r="AH118" s="672"/>
      <c r="AI118" s="672"/>
      <c r="AJ118" s="672"/>
      <c r="AK118" s="672"/>
      <c r="AL118" s="672"/>
      <c r="AM118" s="672"/>
      <c r="AN118" s="672"/>
      <c r="AO118" s="672"/>
      <c r="AP118" s="672"/>
      <c r="AQ118" s="672"/>
      <c r="AR118" s="672"/>
    </row>
    <row r="119" spans="1:44" ht="21" customHeight="1">
      <c r="A119" s="135" t="s">
        <v>15</v>
      </c>
      <c r="B119" s="136">
        <v>1330</v>
      </c>
      <c r="C119" s="194">
        <f t="shared" ref="C119:J119" si="21">C7+C34+C97+C100</f>
        <v>229166.2</v>
      </c>
      <c r="D119" s="226">
        <f t="shared" si="21"/>
        <v>239522.3</v>
      </c>
      <c r="E119" s="194">
        <f t="shared" si="21"/>
        <v>229422.2</v>
      </c>
      <c r="F119" s="226">
        <f t="shared" si="21"/>
        <v>231472.99240000002</v>
      </c>
      <c r="G119" s="194">
        <f t="shared" si="21"/>
        <v>75699.479200000002</v>
      </c>
      <c r="H119" s="194">
        <f t="shared" si="21"/>
        <v>52236.347200000004</v>
      </c>
      <c r="I119" s="224">
        <f t="shared" si="21"/>
        <v>51317.825799999999</v>
      </c>
      <c r="J119" s="194">
        <f t="shared" si="21"/>
        <v>52219.340199999999</v>
      </c>
      <c r="K119" s="670"/>
      <c r="L119" s="705"/>
      <c r="M119" s="683"/>
      <c r="N119" s="672"/>
      <c r="O119" s="672"/>
      <c r="P119" s="672"/>
      <c r="Q119" s="672"/>
      <c r="R119" s="672"/>
      <c r="S119" s="672"/>
      <c r="T119" s="672"/>
      <c r="U119" s="672"/>
      <c r="V119" s="672"/>
      <c r="W119" s="672"/>
      <c r="X119" s="672"/>
      <c r="Y119" s="672"/>
      <c r="Z119" s="672"/>
      <c r="AA119" s="672"/>
      <c r="AB119" s="672"/>
      <c r="AC119" s="672"/>
      <c r="AD119" s="672"/>
      <c r="AE119" s="672"/>
      <c r="AF119" s="672"/>
      <c r="AG119" s="672"/>
      <c r="AH119" s="672"/>
      <c r="AI119" s="672"/>
      <c r="AJ119" s="672"/>
      <c r="AK119" s="672"/>
      <c r="AL119" s="672"/>
      <c r="AM119" s="672"/>
      <c r="AN119" s="672"/>
      <c r="AO119" s="672"/>
      <c r="AP119" s="672"/>
      <c r="AQ119" s="672"/>
      <c r="AR119" s="672"/>
    </row>
    <row r="120" spans="1:44" ht="21.75" customHeight="1">
      <c r="A120" s="135" t="s">
        <v>87</v>
      </c>
      <c r="B120" s="136">
        <v>1340</v>
      </c>
      <c r="C120" s="194">
        <f>-(C14+C44+C73+C81+C104)</f>
        <v>221842.3</v>
      </c>
      <c r="D120" s="226">
        <f>-(D14+D44+D73+D81+D104)</f>
        <v>235684.1</v>
      </c>
      <c r="E120" s="194">
        <f>-(E14+E44+E73+E81+E104)</f>
        <v>227122.63999999996</v>
      </c>
      <c r="F120" s="226">
        <f>-(F14+F44+F73+F81)</f>
        <v>229273.04239999998</v>
      </c>
      <c r="G120" s="194">
        <f>-(G14+G44+G73+G81)</f>
        <v>75163.779200000004</v>
      </c>
      <c r="H120" s="194">
        <f>-(H14+H44+H73+H81)</f>
        <v>51723.547199999994</v>
      </c>
      <c r="I120" s="224">
        <f>-(I14+I44+I73+I81)</f>
        <v>50980.575799999991</v>
      </c>
      <c r="J120" s="194">
        <f>-(J14+J44+J73+J81)</f>
        <v>51405.140200000002</v>
      </c>
      <c r="K120" s="670"/>
      <c r="L120" s="705"/>
      <c r="M120" s="683">
        <f>F120-F119</f>
        <v>-2199.9500000000407</v>
      </c>
      <c r="N120" s="672"/>
      <c r="O120" s="672"/>
      <c r="P120" s="672"/>
      <c r="Q120" s="672"/>
      <c r="R120" s="672"/>
      <c r="S120" s="672"/>
      <c r="T120" s="672"/>
      <c r="U120" s="672"/>
      <c r="V120" s="672"/>
      <c r="W120" s="672"/>
      <c r="X120" s="672"/>
      <c r="Y120" s="672"/>
      <c r="Z120" s="672"/>
      <c r="AA120" s="672"/>
      <c r="AB120" s="672"/>
      <c r="AC120" s="672"/>
      <c r="AD120" s="672"/>
      <c r="AE120" s="672"/>
      <c r="AF120" s="672"/>
      <c r="AG120" s="672"/>
      <c r="AH120" s="672"/>
      <c r="AI120" s="672"/>
      <c r="AJ120" s="672"/>
      <c r="AK120" s="672"/>
      <c r="AL120" s="672"/>
      <c r="AM120" s="672"/>
      <c r="AN120" s="672"/>
      <c r="AO120" s="672"/>
      <c r="AP120" s="672"/>
      <c r="AQ120" s="672"/>
      <c r="AR120" s="672"/>
    </row>
    <row r="121" spans="1:44" ht="20.25" customHeight="1">
      <c r="A121" s="755" t="s">
        <v>157</v>
      </c>
      <c r="B121" s="755"/>
      <c r="C121" s="755"/>
      <c r="D121" s="755"/>
      <c r="E121" s="755"/>
      <c r="F121" s="755"/>
      <c r="G121" s="755"/>
      <c r="H121" s="755"/>
      <c r="I121" s="755"/>
      <c r="J121" s="755"/>
      <c r="K121" s="756"/>
      <c r="L121" s="704"/>
      <c r="M121" s="672"/>
      <c r="N121" s="683"/>
      <c r="O121" s="683"/>
      <c r="P121" s="683"/>
      <c r="Q121" s="683"/>
      <c r="R121" s="683"/>
      <c r="S121" s="672"/>
      <c r="T121" s="672"/>
      <c r="U121" s="672"/>
      <c r="V121" s="672"/>
      <c r="W121" s="672"/>
      <c r="X121" s="672"/>
      <c r="Y121" s="672"/>
      <c r="Z121" s="672"/>
      <c r="AA121" s="672"/>
      <c r="AB121" s="672"/>
      <c r="AC121" s="672"/>
      <c r="AD121" s="672"/>
      <c r="AE121" s="672"/>
      <c r="AF121" s="672"/>
      <c r="AG121" s="672"/>
      <c r="AH121" s="672"/>
      <c r="AI121" s="672"/>
      <c r="AJ121" s="672"/>
      <c r="AK121" s="672"/>
      <c r="AL121" s="672"/>
      <c r="AM121" s="672"/>
      <c r="AN121" s="672"/>
      <c r="AO121" s="672"/>
      <c r="AP121" s="672"/>
      <c r="AQ121" s="672"/>
      <c r="AR121" s="672"/>
    </row>
    <row r="122" spans="1:44" ht="39" customHeight="1">
      <c r="A122" s="8" t="s">
        <v>190</v>
      </c>
      <c r="B122" s="100">
        <v>1500</v>
      </c>
      <c r="C122" s="165">
        <v>30124.400000000001</v>
      </c>
      <c r="D122" s="165">
        <v>31171.4</v>
      </c>
      <c r="E122" s="165">
        <v>36818.9</v>
      </c>
      <c r="F122" s="195">
        <f>SUM(G122:J122)</f>
        <v>35859.1</v>
      </c>
      <c r="G122" s="165">
        <f>SUM(G123:G124)</f>
        <v>9108.875</v>
      </c>
      <c r="H122" s="165">
        <f>SUM(H123:H124)</f>
        <v>8771.875</v>
      </c>
      <c r="I122" s="165">
        <f>SUM(I123:I124)</f>
        <v>8922.9750000000004</v>
      </c>
      <c r="J122" s="165">
        <f>SUM(J123:J124)</f>
        <v>9055.375</v>
      </c>
      <c r="K122" s="650"/>
      <c r="L122" s="706"/>
      <c r="M122" s="672" t="s">
        <v>549</v>
      </c>
      <c r="N122" s="707" t="s">
        <v>552</v>
      </c>
      <c r="O122" s="672" t="s">
        <v>550</v>
      </c>
      <c r="P122" s="672" t="s">
        <v>551</v>
      </c>
      <c r="Q122" s="708" t="s">
        <v>553</v>
      </c>
      <c r="R122" s="672"/>
      <c r="S122" s="672"/>
      <c r="T122" s="685"/>
      <c r="U122" s="701"/>
      <c r="V122" s="708"/>
      <c r="W122" s="672"/>
      <c r="X122" s="672"/>
      <c r="Y122" s="672"/>
      <c r="Z122" s="672"/>
      <c r="AA122" s="672"/>
      <c r="AB122" s="672"/>
      <c r="AC122" s="672"/>
      <c r="AD122" s="672"/>
      <c r="AE122" s="672"/>
      <c r="AF122" s="672"/>
      <c r="AG122" s="672"/>
      <c r="AH122" s="672"/>
      <c r="AI122" s="672"/>
      <c r="AJ122" s="672"/>
      <c r="AK122" s="672"/>
      <c r="AL122" s="672"/>
      <c r="AM122" s="672"/>
      <c r="AN122" s="672"/>
      <c r="AO122" s="672"/>
      <c r="AP122" s="672"/>
      <c r="AQ122" s="672"/>
      <c r="AR122" s="672"/>
    </row>
    <row r="123" spans="1:44" ht="30" customHeight="1">
      <c r="A123" s="87" t="s">
        <v>188</v>
      </c>
      <c r="B123" s="92">
        <v>1501</v>
      </c>
      <c r="C123" s="165">
        <v>25644.9</v>
      </c>
      <c r="D123" s="165">
        <v>30639.3</v>
      </c>
      <c r="E123" s="165">
        <v>36368.9</v>
      </c>
      <c r="F123" s="195">
        <f>SUM(G123:J123)</f>
        <v>35396.1</v>
      </c>
      <c r="G123" s="165">
        <f>(-G15)+(-G25)+(-G68)+S123</f>
        <v>8958.875</v>
      </c>
      <c r="H123" s="165">
        <f>(-H15)+(-H25)+(-H68)+S123</f>
        <v>8658.875</v>
      </c>
      <c r="I123" s="165">
        <f>(-I15)+(-I25)+(-I68)+S123</f>
        <v>8822.9750000000004</v>
      </c>
      <c r="J123" s="165">
        <f>(-J15)+(-J25)+(-J68)+(-J28)+S123</f>
        <v>8955.375</v>
      </c>
      <c r="K123" s="650"/>
      <c r="L123" s="681"/>
      <c r="M123" s="709">
        <f>(3142600)/1000</f>
        <v>3142.6</v>
      </c>
      <c r="N123" s="676">
        <f>(126500+3376800)/1000</f>
        <v>3503.3</v>
      </c>
      <c r="O123" s="709">
        <f>17595000/1000</f>
        <v>17595</v>
      </c>
      <c r="P123" s="676">
        <f>(37000)/1000</f>
        <v>37</v>
      </c>
      <c r="Q123" s="710">
        <f>-(F91)</f>
        <v>6300</v>
      </c>
      <c r="R123" s="709">
        <f>SUM(M123:Q123)</f>
        <v>30577.9</v>
      </c>
      <c r="S123" s="676">
        <f>R123/4</f>
        <v>7644.4750000000004</v>
      </c>
      <c r="T123" s="672"/>
      <c r="U123" s="672"/>
      <c r="V123" s="672"/>
      <c r="W123" s="672"/>
      <c r="X123" s="672"/>
      <c r="Y123" s="672"/>
      <c r="Z123" s="672"/>
      <c r="AA123" s="672"/>
      <c r="AB123" s="672"/>
      <c r="AC123" s="672"/>
      <c r="AD123" s="672"/>
      <c r="AE123" s="672"/>
      <c r="AF123" s="672"/>
      <c r="AG123" s="672"/>
      <c r="AH123" s="672"/>
      <c r="AI123" s="672"/>
      <c r="AJ123" s="672"/>
      <c r="AK123" s="672"/>
      <c r="AL123" s="672"/>
      <c r="AM123" s="672"/>
      <c r="AN123" s="672"/>
      <c r="AO123" s="672"/>
      <c r="AP123" s="672"/>
      <c r="AQ123" s="672"/>
      <c r="AR123" s="672"/>
    </row>
    <row r="124" spans="1:44" ht="18.75" customHeight="1">
      <c r="A124" s="87" t="s">
        <v>21</v>
      </c>
      <c r="B124" s="92">
        <v>1502</v>
      </c>
      <c r="C124" s="165">
        <v>4479.5</v>
      </c>
      <c r="D124" s="165">
        <v>532.1</v>
      </c>
      <c r="E124" s="165">
        <v>450</v>
      </c>
      <c r="F124" s="195">
        <f t="shared" ref="F124:F129" si="22">SUM(G124:J124)</f>
        <v>463</v>
      </c>
      <c r="G124" s="165">
        <f>-(G16)</f>
        <v>150</v>
      </c>
      <c r="H124" s="165">
        <f>-(H16)</f>
        <v>113</v>
      </c>
      <c r="I124" s="165">
        <f>-(I16)</f>
        <v>100</v>
      </c>
      <c r="J124" s="165">
        <f>-(J16)</f>
        <v>100</v>
      </c>
      <c r="K124" s="650"/>
      <c r="L124" s="681"/>
      <c r="M124" s="672"/>
      <c r="N124" s="672"/>
      <c r="O124" s="672"/>
      <c r="P124" s="672"/>
      <c r="Q124" s="672"/>
      <c r="R124" s="672"/>
      <c r="S124" s="672"/>
      <c r="T124" s="672"/>
      <c r="U124" s="672"/>
      <c r="V124" s="672"/>
      <c r="W124" s="672"/>
      <c r="X124" s="672"/>
      <c r="Y124" s="672"/>
      <c r="Z124" s="672"/>
      <c r="AA124" s="672"/>
      <c r="AB124" s="672"/>
      <c r="AC124" s="672"/>
      <c r="AD124" s="672"/>
      <c r="AE124" s="672"/>
      <c r="AF124" s="672"/>
      <c r="AG124" s="672"/>
      <c r="AH124" s="672"/>
      <c r="AI124" s="672"/>
      <c r="AJ124" s="672"/>
      <c r="AK124" s="672"/>
      <c r="AL124" s="672"/>
      <c r="AM124" s="672"/>
      <c r="AN124" s="672"/>
      <c r="AO124" s="672"/>
      <c r="AP124" s="672"/>
      <c r="AQ124" s="672"/>
      <c r="AR124" s="672"/>
    </row>
    <row r="125" spans="1:44" ht="27.75" customHeight="1">
      <c r="A125" s="8" t="s">
        <v>2</v>
      </c>
      <c r="B125" s="100">
        <v>1510</v>
      </c>
      <c r="C125" s="165">
        <v>137065.1</v>
      </c>
      <c r="D125" s="165">
        <v>143592.70000000001</v>
      </c>
      <c r="E125" s="165">
        <f>-(E18+E52+E92)</f>
        <v>129932.2</v>
      </c>
      <c r="F125" s="195">
        <f>SUM(G125:J125)</f>
        <v>132671.65000000002</v>
      </c>
      <c r="G125" s="165">
        <f>-(G18+G52+G92)</f>
        <v>32867</v>
      </c>
      <c r="H125" s="165">
        <f>-(H18+H52+H92)</f>
        <v>33501.499999999993</v>
      </c>
      <c r="I125" s="165">
        <f t="shared" ref="I125:J125" si="23">-(I18+I52+I92)</f>
        <v>33294.85</v>
      </c>
      <c r="J125" s="165">
        <f t="shared" si="23"/>
        <v>33008.300000000003</v>
      </c>
      <c r="K125" s="650"/>
      <c r="L125" s="711"/>
      <c r="M125" s="680">
        <f>F125-C125</f>
        <v>-4393.4499999999825</v>
      </c>
      <c r="N125" s="672"/>
      <c r="O125" s="672"/>
      <c r="P125" s="672"/>
      <c r="Q125" s="672"/>
      <c r="R125" s="672" t="s">
        <v>718</v>
      </c>
      <c r="S125" s="672"/>
      <c r="T125" s="672"/>
      <c r="U125" s="672"/>
      <c r="V125" s="672"/>
      <c r="W125" s="672"/>
      <c r="X125" s="672"/>
      <c r="Y125" s="672"/>
      <c r="Z125" s="672"/>
      <c r="AA125" s="672"/>
      <c r="AB125" s="672"/>
      <c r="AC125" s="672"/>
      <c r="AD125" s="672"/>
      <c r="AE125" s="672"/>
      <c r="AF125" s="672"/>
      <c r="AG125" s="672"/>
      <c r="AH125" s="672"/>
      <c r="AI125" s="672"/>
      <c r="AJ125" s="672"/>
      <c r="AK125" s="672"/>
      <c r="AL125" s="672"/>
      <c r="AM125" s="672"/>
      <c r="AN125" s="672"/>
      <c r="AO125" s="672"/>
      <c r="AP125" s="672"/>
      <c r="AQ125" s="672"/>
      <c r="AR125" s="672"/>
    </row>
    <row r="126" spans="1:44" ht="37.5" customHeight="1">
      <c r="A126" s="8" t="s">
        <v>3</v>
      </c>
      <c r="B126" s="100">
        <v>1520</v>
      </c>
      <c r="C126" s="165">
        <v>28023.5</v>
      </c>
      <c r="D126" s="165">
        <v>29565.5</v>
      </c>
      <c r="E126" s="165">
        <f>-(E19+E53+E93)</f>
        <v>26813.64</v>
      </c>
      <c r="F126" s="195">
        <f t="shared" si="22"/>
        <v>27288.600000000002</v>
      </c>
      <c r="G126" s="165">
        <f>-(G19+G53+G93)</f>
        <v>6764</v>
      </c>
      <c r="H126" s="165">
        <f t="shared" ref="H126:J126" si="24">-(H19+H53+H93)</f>
        <v>6882.7000000000007</v>
      </c>
      <c r="I126" s="165">
        <f t="shared" si="24"/>
        <v>6846.2000000000007</v>
      </c>
      <c r="J126" s="165">
        <f t="shared" si="24"/>
        <v>6795.7000000000007</v>
      </c>
      <c r="K126" s="650"/>
      <c r="L126" s="711"/>
      <c r="M126" s="680">
        <f>F126-C126</f>
        <v>-734.89999999999782</v>
      </c>
      <c r="N126" s="672"/>
      <c r="O126" s="672"/>
      <c r="P126" s="672"/>
      <c r="Q126" s="672"/>
      <c r="R126" s="672"/>
      <c r="S126" s="672"/>
      <c r="T126" s="672"/>
      <c r="U126" s="672"/>
      <c r="V126" s="672"/>
      <c r="W126" s="672"/>
      <c r="X126" s="672"/>
      <c r="Y126" s="672"/>
      <c r="Z126" s="672"/>
      <c r="AA126" s="672"/>
      <c r="AB126" s="672"/>
      <c r="AC126" s="672"/>
      <c r="AD126" s="672"/>
      <c r="AE126" s="672"/>
      <c r="AF126" s="672"/>
      <c r="AG126" s="672"/>
      <c r="AH126" s="672"/>
      <c r="AI126" s="672"/>
      <c r="AJ126" s="672"/>
      <c r="AK126" s="672"/>
      <c r="AL126" s="672"/>
      <c r="AM126" s="672"/>
      <c r="AN126" s="672"/>
      <c r="AO126" s="672"/>
      <c r="AP126" s="672"/>
      <c r="AQ126" s="672"/>
      <c r="AR126" s="672"/>
    </row>
    <row r="127" spans="1:44" ht="25.5" customHeight="1">
      <c r="A127" s="8" t="s">
        <v>4</v>
      </c>
      <c r="B127" s="100">
        <v>1530</v>
      </c>
      <c r="C127" s="165">
        <v>4029.9</v>
      </c>
      <c r="D127" s="165">
        <v>4615.3</v>
      </c>
      <c r="E127" s="165">
        <v>5549.3</v>
      </c>
      <c r="F127" s="195">
        <f t="shared" si="22"/>
        <v>6994.3</v>
      </c>
      <c r="G127" s="165">
        <f>-(G21)+(-G86)+(-G54)</f>
        <v>1703.2</v>
      </c>
      <c r="H127" s="165">
        <f t="shared" ref="H127:J127" si="25">-(H21)+(-H86)+(-H54)</f>
        <v>1708</v>
      </c>
      <c r="I127" s="165">
        <f t="shared" si="25"/>
        <v>1708</v>
      </c>
      <c r="J127" s="165">
        <f t="shared" si="25"/>
        <v>1875.1000000000001</v>
      </c>
      <c r="K127" s="650"/>
      <c r="L127" s="681"/>
      <c r="M127" s="683">
        <f>F86+F54+F21</f>
        <v>-6994.3</v>
      </c>
      <c r="N127" s="672"/>
      <c r="O127" s="672"/>
      <c r="P127" s="672"/>
      <c r="Q127" s="672"/>
      <c r="R127" s="672"/>
      <c r="S127" s="672"/>
      <c r="T127" s="672"/>
      <c r="U127" s="672"/>
      <c r="V127" s="672"/>
      <c r="W127" s="672"/>
      <c r="X127" s="672"/>
      <c r="Y127" s="672"/>
      <c r="Z127" s="672"/>
      <c r="AA127" s="672"/>
      <c r="AB127" s="672"/>
      <c r="AC127" s="672"/>
      <c r="AD127" s="672"/>
      <c r="AE127" s="672"/>
      <c r="AF127" s="672"/>
      <c r="AG127" s="672"/>
      <c r="AH127" s="672"/>
      <c r="AI127" s="672"/>
      <c r="AJ127" s="672"/>
      <c r="AK127" s="672"/>
      <c r="AL127" s="672"/>
      <c r="AM127" s="672"/>
      <c r="AN127" s="672"/>
      <c r="AO127" s="672"/>
      <c r="AP127" s="672"/>
      <c r="AQ127" s="672"/>
      <c r="AR127" s="672"/>
    </row>
    <row r="128" spans="1:44" ht="27.75" customHeight="1">
      <c r="A128" s="8" t="s">
        <v>22</v>
      </c>
      <c r="B128" s="100">
        <v>1540</v>
      </c>
      <c r="C128" s="165">
        <v>22599.4</v>
      </c>
      <c r="D128" s="165">
        <v>26739.200000000001</v>
      </c>
      <c r="E128" s="165">
        <v>28008.6</v>
      </c>
      <c r="F128" s="195">
        <f>SUM(G128:J128)</f>
        <v>26459.392399999997</v>
      </c>
      <c r="G128" s="165">
        <f>(G120-G122-G125-G126-G127)</f>
        <v>24720.704200000004</v>
      </c>
      <c r="H128" s="165">
        <f>(H120-H122-H125-H126-H127)</f>
        <v>859.47220000000016</v>
      </c>
      <c r="I128" s="165">
        <f>(I120-I122-I125-I126-I127)</f>
        <v>208.55079999999361</v>
      </c>
      <c r="J128" s="165">
        <f>(J120-J122-J125-J126-J127)</f>
        <v>670.66519999999787</v>
      </c>
      <c r="K128" s="650"/>
      <c r="L128" s="681"/>
      <c r="M128" s="688"/>
      <c r="N128" s="672"/>
      <c r="O128" s="672"/>
      <c r="P128" s="672"/>
      <c r="Q128" s="672"/>
      <c r="R128" s="672"/>
      <c r="S128" s="672"/>
      <c r="T128" s="672"/>
      <c r="U128" s="672"/>
      <c r="V128" s="672"/>
      <c r="W128" s="672"/>
      <c r="X128" s="672"/>
      <c r="Y128" s="672"/>
      <c r="Z128" s="672"/>
      <c r="AA128" s="672"/>
      <c r="AB128" s="672"/>
      <c r="AC128" s="672"/>
      <c r="AD128" s="672"/>
      <c r="AE128" s="672"/>
      <c r="AF128" s="672"/>
      <c r="AG128" s="672"/>
      <c r="AH128" s="672"/>
      <c r="AI128" s="672"/>
      <c r="AJ128" s="672"/>
      <c r="AK128" s="672"/>
      <c r="AL128" s="672"/>
      <c r="AM128" s="672"/>
      <c r="AN128" s="672"/>
      <c r="AO128" s="672"/>
      <c r="AP128" s="672"/>
      <c r="AQ128" s="672"/>
      <c r="AR128" s="672"/>
    </row>
    <row r="129" spans="1:44" s="5" customFormat="1" ht="24.75" customHeight="1">
      <c r="A129" s="9" t="s">
        <v>40</v>
      </c>
      <c r="B129" s="100">
        <v>1550</v>
      </c>
      <c r="C129" s="199">
        <f>SUM(C122,C125:C128)</f>
        <v>221842.3</v>
      </c>
      <c r="D129" s="184">
        <f>SUM(D122,D125:D128)</f>
        <v>235684.1</v>
      </c>
      <c r="E129" s="184">
        <f>SUM(E122,E125:E128)</f>
        <v>227122.63999999998</v>
      </c>
      <c r="F129" s="182">
        <f t="shared" si="22"/>
        <v>229273.04240000001</v>
      </c>
      <c r="G129" s="182">
        <f>SUM(G122,G125:G128)</f>
        <v>75163.779200000004</v>
      </c>
      <c r="H129" s="182">
        <f>SUM(H122,H125:H128)</f>
        <v>51723.547200000001</v>
      </c>
      <c r="I129" s="182">
        <f>SUM(I122,I125:I128)</f>
        <v>50980.575799999991</v>
      </c>
      <c r="J129" s="182">
        <f>SUM(J122,J125:J128)</f>
        <v>51405.140199999994</v>
      </c>
      <c r="K129" s="662"/>
      <c r="L129" s="696"/>
      <c r="M129" s="676"/>
      <c r="N129" s="676"/>
      <c r="O129" s="676"/>
      <c r="P129" s="676"/>
      <c r="Q129" s="676"/>
      <c r="R129" s="676"/>
      <c r="S129" s="676"/>
      <c r="T129" s="676"/>
      <c r="U129" s="676"/>
      <c r="V129" s="676"/>
      <c r="W129" s="676"/>
      <c r="X129" s="676"/>
      <c r="Y129" s="676"/>
      <c r="Z129" s="676"/>
      <c r="AA129" s="676"/>
      <c r="AB129" s="676"/>
      <c r="AC129" s="676"/>
      <c r="AD129" s="676"/>
      <c r="AE129" s="676"/>
      <c r="AF129" s="676"/>
      <c r="AG129" s="676"/>
      <c r="AH129" s="676"/>
      <c r="AI129" s="676"/>
      <c r="AJ129" s="676"/>
      <c r="AK129" s="676"/>
      <c r="AL129" s="676"/>
      <c r="AM129" s="676"/>
      <c r="AN129" s="676"/>
      <c r="AO129" s="676"/>
      <c r="AP129" s="676"/>
      <c r="AQ129" s="676"/>
      <c r="AR129" s="676"/>
    </row>
    <row r="130" spans="1:44" ht="7.5" customHeight="1">
      <c r="A130" s="23"/>
      <c r="C130" s="621"/>
      <c r="D130" s="24"/>
      <c r="E130" s="24"/>
      <c r="F130" s="24"/>
      <c r="G130" s="24"/>
      <c r="H130" s="24"/>
      <c r="I130" s="24"/>
      <c r="J130" s="24"/>
    </row>
    <row r="131" spans="1:44" ht="38.25" customHeight="1">
      <c r="A131" s="238" t="s">
        <v>740</v>
      </c>
      <c r="B131" s="145"/>
      <c r="C131" s="750" t="s">
        <v>161</v>
      </c>
      <c r="D131" s="750"/>
      <c r="E131" s="750"/>
      <c r="F131" s="750"/>
      <c r="G131" s="146"/>
      <c r="H131" s="745" t="s">
        <v>747</v>
      </c>
      <c r="I131" s="745"/>
      <c r="J131" s="745"/>
      <c r="K131" s="285"/>
      <c r="L131" s="285"/>
      <c r="M131" s="285"/>
      <c r="O131" s="25"/>
    </row>
    <row r="132" spans="1:44" ht="11.25" customHeight="1">
      <c r="A132" s="125" t="s">
        <v>160</v>
      </c>
      <c r="B132" s="126"/>
      <c r="C132" s="753" t="s">
        <v>203</v>
      </c>
      <c r="D132" s="753"/>
      <c r="E132" s="753"/>
      <c r="F132" s="753"/>
      <c r="G132" s="125"/>
      <c r="H132" s="753" t="s">
        <v>82</v>
      </c>
      <c r="I132" s="753"/>
      <c r="J132" s="753"/>
    </row>
    <row r="133" spans="1:44" ht="20.100000000000001" customHeight="1">
      <c r="A133" s="23"/>
      <c r="C133" s="621"/>
      <c r="D133" s="24"/>
      <c r="E133" s="24"/>
      <c r="F133" s="24"/>
      <c r="G133" s="24"/>
      <c r="H133" s="24"/>
      <c r="I133" s="24"/>
      <c r="J133" s="24"/>
    </row>
    <row r="134" spans="1:44">
      <c r="A134" s="23"/>
      <c r="C134" s="621"/>
      <c r="D134" s="24"/>
      <c r="E134" s="24"/>
      <c r="F134" s="24"/>
      <c r="G134" s="24"/>
      <c r="H134" s="24"/>
      <c r="I134" s="24"/>
      <c r="J134" s="24"/>
    </row>
    <row r="135" spans="1:44">
      <c r="A135" s="23"/>
      <c r="C135" s="621"/>
      <c r="D135" s="24"/>
      <c r="E135" s="24"/>
      <c r="F135" s="24"/>
      <c r="G135" s="24"/>
      <c r="H135" s="24"/>
      <c r="I135" s="24"/>
      <c r="J135" s="24"/>
    </row>
    <row r="136" spans="1:44">
      <c r="A136" s="23"/>
      <c r="C136" s="621"/>
      <c r="D136" s="24"/>
      <c r="E136" s="24"/>
      <c r="F136" s="24"/>
      <c r="G136" s="24"/>
      <c r="H136" s="24"/>
      <c r="I136" s="24"/>
      <c r="J136" s="24"/>
    </row>
    <row r="137" spans="1:44">
      <c r="A137" s="23"/>
      <c r="C137" s="621"/>
      <c r="D137" s="24"/>
      <c r="E137" s="24"/>
      <c r="F137" s="24"/>
      <c r="G137" s="24"/>
      <c r="H137" s="24"/>
      <c r="I137" s="24"/>
      <c r="J137" s="24"/>
    </row>
    <row r="138" spans="1:44">
      <c r="A138" s="23"/>
      <c r="C138" s="621"/>
      <c r="D138" s="24"/>
      <c r="E138" s="24"/>
      <c r="F138" s="24"/>
      <c r="G138" s="24"/>
      <c r="H138" s="24"/>
      <c r="I138" s="24"/>
      <c r="J138" s="24"/>
    </row>
    <row r="139" spans="1:44">
      <c r="A139" s="23"/>
      <c r="C139" s="621"/>
      <c r="D139" s="24"/>
      <c r="E139" s="24"/>
      <c r="F139" s="24"/>
      <c r="G139" s="24"/>
      <c r="H139" s="24"/>
      <c r="I139" s="24"/>
      <c r="J139" s="24"/>
    </row>
    <row r="140" spans="1:44">
      <c r="A140" s="23"/>
      <c r="C140" s="621"/>
      <c r="D140" s="24"/>
      <c r="E140" s="24"/>
      <c r="F140" s="24"/>
      <c r="G140" s="24"/>
      <c r="H140" s="24"/>
      <c r="I140" s="24"/>
      <c r="J140" s="24"/>
    </row>
    <row r="141" spans="1:44">
      <c r="A141" s="23"/>
      <c r="C141" s="621"/>
      <c r="D141" s="24"/>
      <c r="E141" s="24"/>
      <c r="F141" s="24"/>
      <c r="G141" s="24"/>
      <c r="H141" s="24"/>
      <c r="I141" s="24"/>
      <c r="J141" s="24"/>
    </row>
    <row r="142" spans="1:44">
      <c r="A142" s="23"/>
      <c r="C142" s="621"/>
      <c r="D142" s="24"/>
      <c r="E142" s="24"/>
      <c r="F142" s="24"/>
      <c r="G142" s="24"/>
      <c r="H142" s="24"/>
      <c r="I142" s="24"/>
      <c r="J142" s="24"/>
    </row>
    <row r="143" spans="1:44">
      <c r="A143" s="23"/>
      <c r="C143" s="621"/>
      <c r="D143" s="24"/>
      <c r="E143" s="24"/>
      <c r="F143" s="24"/>
      <c r="G143" s="24"/>
      <c r="H143" s="24"/>
      <c r="I143" s="24"/>
      <c r="J143" s="24"/>
    </row>
    <row r="144" spans="1:44">
      <c r="A144" s="23"/>
      <c r="C144" s="621"/>
      <c r="D144" s="24"/>
      <c r="E144" s="24"/>
      <c r="F144" s="24"/>
      <c r="G144" s="24"/>
      <c r="H144" s="24"/>
      <c r="I144" s="24"/>
      <c r="J144" s="24"/>
    </row>
    <row r="145" spans="1:10">
      <c r="A145" s="23"/>
      <c r="C145" s="621"/>
      <c r="D145" s="24"/>
      <c r="E145" s="24"/>
      <c r="F145" s="24"/>
      <c r="G145" s="24"/>
      <c r="H145" s="24"/>
      <c r="I145" s="24"/>
      <c r="J145" s="24"/>
    </row>
    <row r="146" spans="1:10">
      <c r="A146" s="23"/>
      <c r="B146" s="313"/>
      <c r="C146" s="145"/>
      <c r="D146" s="750"/>
      <c r="E146" s="751"/>
      <c r="F146" s="751"/>
      <c r="G146" s="751"/>
      <c r="H146" s="24"/>
      <c r="I146" s="24"/>
      <c r="J146" s="24"/>
    </row>
    <row r="147" spans="1:10">
      <c r="A147" s="23"/>
      <c r="C147" s="621"/>
      <c r="D147" s="24"/>
      <c r="E147" s="24"/>
      <c r="F147" s="24"/>
      <c r="G147" s="24"/>
      <c r="H147" s="24"/>
      <c r="I147" s="24"/>
      <c r="J147" s="24"/>
    </row>
    <row r="148" spans="1:10">
      <c r="A148" s="23"/>
      <c r="C148" s="621"/>
      <c r="D148" s="24"/>
      <c r="E148" s="24"/>
      <c r="F148" s="24"/>
      <c r="G148" s="24"/>
      <c r="H148" s="24"/>
      <c r="I148" s="24"/>
      <c r="J148" s="24"/>
    </row>
    <row r="149" spans="1:10">
      <c r="A149" s="23"/>
      <c r="C149" s="621"/>
      <c r="D149" s="24"/>
      <c r="E149" s="24"/>
      <c r="F149" s="24"/>
      <c r="G149" s="24"/>
      <c r="H149" s="24"/>
      <c r="I149" s="24"/>
      <c r="J149" s="24"/>
    </row>
    <row r="150" spans="1:10">
      <c r="A150" s="23"/>
      <c r="C150" s="621"/>
      <c r="D150" s="24"/>
      <c r="E150" s="24"/>
      <c r="F150" s="24"/>
      <c r="G150" s="24"/>
      <c r="H150" s="24"/>
      <c r="I150" s="24"/>
      <c r="J150" s="24"/>
    </row>
    <row r="151" spans="1:10">
      <c r="A151" s="23"/>
      <c r="C151" s="621"/>
      <c r="D151" s="24"/>
      <c r="E151" s="24"/>
      <c r="F151" s="24"/>
      <c r="G151" s="24"/>
      <c r="H151" s="24"/>
      <c r="I151" s="24"/>
      <c r="J151" s="24"/>
    </row>
    <row r="152" spans="1:10">
      <c r="A152" s="23"/>
      <c r="C152" s="621"/>
      <c r="D152" s="24"/>
      <c r="E152" s="24"/>
      <c r="F152" s="24"/>
      <c r="G152" s="24"/>
      <c r="H152" s="24"/>
      <c r="I152" s="24"/>
      <c r="J152" s="24"/>
    </row>
    <row r="153" spans="1:10">
      <c r="A153" s="23"/>
      <c r="C153" s="621"/>
      <c r="D153" s="24"/>
      <c r="E153" s="24"/>
      <c r="F153" s="24"/>
      <c r="G153" s="24"/>
      <c r="H153" s="24"/>
      <c r="I153" s="24"/>
      <c r="J153" s="24"/>
    </row>
    <row r="154" spans="1:10">
      <c r="A154" s="23"/>
      <c r="C154" s="621"/>
      <c r="D154" s="24"/>
      <c r="E154" s="24"/>
      <c r="F154" s="24"/>
      <c r="G154" s="24"/>
      <c r="H154" s="24"/>
      <c r="I154" s="24"/>
      <c r="J154" s="24"/>
    </row>
    <row r="155" spans="1:10">
      <c r="A155" s="23"/>
      <c r="C155" s="621"/>
      <c r="D155" s="24"/>
      <c r="E155" s="24"/>
      <c r="F155" s="24"/>
      <c r="G155" s="24"/>
      <c r="H155" s="24"/>
      <c r="I155" s="24"/>
      <c r="J155" s="24"/>
    </row>
    <row r="156" spans="1:10">
      <c r="A156" s="23"/>
      <c r="C156" s="621"/>
      <c r="D156" s="24"/>
      <c r="E156" s="24"/>
      <c r="F156" s="24"/>
      <c r="G156" s="24"/>
      <c r="H156" s="24"/>
      <c r="I156" s="24"/>
      <c r="J156" s="24"/>
    </row>
    <row r="157" spans="1:10">
      <c r="A157" s="23"/>
      <c r="C157" s="621"/>
      <c r="D157" s="24"/>
      <c r="E157" s="24"/>
      <c r="F157" s="24"/>
      <c r="G157" s="24"/>
      <c r="H157" s="24"/>
      <c r="I157" s="24"/>
      <c r="J157" s="24"/>
    </row>
    <row r="158" spans="1:10">
      <c r="A158" s="23"/>
      <c r="C158" s="621"/>
      <c r="D158" s="24"/>
      <c r="E158" s="24"/>
      <c r="F158" s="24"/>
      <c r="G158" s="24"/>
      <c r="H158" s="24"/>
      <c r="I158" s="24"/>
      <c r="J158" s="24"/>
    </row>
    <row r="159" spans="1:10">
      <c r="A159" s="23"/>
      <c r="C159" s="621"/>
      <c r="D159" s="24"/>
      <c r="E159" s="24"/>
      <c r="F159" s="24"/>
      <c r="G159" s="24"/>
      <c r="H159" s="24"/>
      <c r="I159" s="24"/>
      <c r="J159" s="24"/>
    </row>
    <row r="160" spans="1:10">
      <c r="A160" s="23"/>
      <c r="C160" s="621"/>
      <c r="D160" s="24"/>
      <c r="E160" s="24"/>
      <c r="F160" s="24"/>
      <c r="G160" s="24"/>
      <c r="H160" s="24"/>
      <c r="I160" s="24"/>
      <c r="J160" s="24"/>
    </row>
    <row r="161" spans="1:10">
      <c r="A161" s="23"/>
      <c r="C161" s="621"/>
      <c r="D161" s="24"/>
      <c r="E161" s="24"/>
      <c r="F161" s="24"/>
      <c r="G161" s="24"/>
      <c r="H161" s="24"/>
      <c r="I161" s="24"/>
      <c r="J161" s="24"/>
    </row>
    <row r="162" spans="1:10">
      <c r="A162" s="23"/>
      <c r="C162" s="621"/>
      <c r="D162" s="24"/>
      <c r="E162" s="24"/>
      <c r="F162" s="24"/>
      <c r="G162" s="24"/>
      <c r="H162" s="24"/>
      <c r="I162" s="24"/>
      <c r="J162" s="24"/>
    </row>
    <row r="163" spans="1:10">
      <c r="A163" s="23"/>
      <c r="C163" s="621"/>
      <c r="D163" s="24"/>
      <c r="E163" s="24"/>
      <c r="F163" s="24"/>
      <c r="G163" s="24"/>
      <c r="H163" s="24"/>
      <c r="I163" s="24"/>
      <c r="J163" s="24"/>
    </row>
    <row r="164" spans="1:10">
      <c r="A164" s="23"/>
      <c r="C164" s="621"/>
      <c r="D164" s="24"/>
      <c r="E164" s="24"/>
      <c r="F164" s="24"/>
      <c r="G164" s="24"/>
      <c r="H164" s="24"/>
      <c r="I164" s="24"/>
      <c r="J164" s="24"/>
    </row>
    <row r="165" spans="1:10">
      <c r="A165" s="23"/>
      <c r="C165" s="621"/>
      <c r="D165" s="24"/>
      <c r="E165" s="24"/>
      <c r="F165" s="24"/>
      <c r="G165" s="24"/>
      <c r="H165" s="24"/>
      <c r="I165" s="24"/>
      <c r="J165" s="24"/>
    </row>
    <row r="166" spans="1:10">
      <c r="A166" s="23"/>
      <c r="C166" s="621"/>
      <c r="D166" s="24"/>
      <c r="E166" s="24"/>
      <c r="F166" s="24"/>
      <c r="G166" s="24"/>
      <c r="H166" s="24"/>
      <c r="I166" s="24"/>
      <c r="J166" s="24"/>
    </row>
    <row r="167" spans="1:10">
      <c r="A167" s="23"/>
      <c r="C167" s="621"/>
      <c r="D167" s="24"/>
      <c r="E167" s="24"/>
      <c r="F167" s="24"/>
      <c r="G167" s="24"/>
      <c r="H167" s="24"/>
      <c r="I167" s="24"/>
      <c r="J167" s="24"/>
    </row>
    <row r="168" spans="1:10">
      <c r="A168" s="23"/>
      <c r="C168" s="621"/>
      <c r="D168" s="24"/>
      <c r="E168" s="24"/>
      <c r="F168" s="24"/>
      <c r="G168" s="24"/>
      <c r="H168" s="24"/>
      <c r="I168" s="24"/>
      <c r="J168" s="24"/>
    </row>
    <row r="169" spans="1:10">
      <c r="A169" s="23"/>
      <c r="C169" s="621"/>
      <c r="D169" s="24"/>
      <c r="E169" s="24"/>
      <c r="F169" s="24"/>
      <c r="G169" s="24"/>
      <c r="H169" s="24"/>
      <c r="I169" s="24"/>
      <c r="J169" s="24"/>
    </row>
    <row r="170" spans="1:10">
      <c r="A170" s="23"/>
      <c r="C170" s="621"/>
      <c r="D170" s="24"/>
      <c r="E170" s="24"/>
      <c r="F170" s="24"/>
      <c r="G170" s="24"/>
      <c r="H170" s="24"/>
      <c r="I170" s="24"/>
      <c r="J170" s="24"/>
    </row>
    <row r="171" spans="1:10">
      <c r="A171" s="23"/>
      <c r="C171" s="621"/>
      <c r="D171" s="24"/>
      <c r="E171" s="24"/>
      <c r="F171" s="24"/>
      <c r="G171" s="24"/>
      <c r="H171" s="24"/>
      <c r="I171" s="24"/>
      <c r="J171" s="24"/>
    </row>
    <row r="172" spans="1:10">
      <c r="A172" s="23"/>
      <c r="C172" s="621"/>
      <c r="D172" s="24"/>
      <c r="E172" s="24"/>
      <c r="F172" s="24"/>
      <c r="G172" s="24"/>
      <c r="H172" s="24"/>
      <c r="I172" s="24"/>
      <c r="J172" s="24"/>
    </row>
    <row r="173" spans="1:10">
      <c r="A173" s="23"/>
      <c r="C173" s="621"/>
      <c r="D173" s="24"/>
      <c r="E173" s="24"/>
      <c r="F173" s="24"/>
      <c r="G173" s="24"/>
      <c r="H173" s="24"/>
      <c r="I173" s="24"/>
      <c r="J173" s="24"/>
    </row>
    <row r="174" spans="1:10">
      <c r="A174" s="23"/>
      <c r="C174" s="621"/>
      <c r="D174" s="24"/>
      <c r="E174" s="24"/>
      <c r="F174" s="24"/>
      <c r="G174" s="24"/>
      <c r="H174" s="24"/>
      <c r="I174" s="24"/>
      <c r="J174" s="24"/>
    </row>
    <row r="175" spans="1:10">
      <c r="A175" s="23"/>
      <c r="C175" s="621"/>
      <c r="D175" s="24"/>
      <c r="E175" s="24"/>
      <c r="F175" s="24"/>
      <c r="G175" s="24"/>
      <c r="H175" s="24"/>
      <c r="I175" s="24"/>
      <c r="J175" s="24"/>
    </row>
    <row r="176" spans="1:10">
      <c r="A176" s="23"/>
      <c r="C176" s="621"/>
      <c r="D176" s="24"/>
      <c r="E176" s="24"/>
      <c r="F176" s="24"/>
      <c r="G176" s="24"/>
      <c r="H176" s="24"/>
      <c r="I176" s="24"/>
      <c r="J176" s="24"/>
    </row>
    <row r="177" spans="1:10">
      <c r="A177" s="23"/>
      <c r="C177" s="621"/>
      <c r="D177" s="24"/>
      <c r="E177" s="24"/>
      <c r="F177" s="24"/>
      <c r="G177" s="24"/>
      <c r="H177" s="24"/>
      <c r="I177" s="24"/>
      <c r="J177" s="24"/>
    </row>
    <row r="178" spans="1:10">
      <c r="A178" s="23"/>
      <c r="C178" s="621"/>
      <c r="D178" s="24"/>
      <c r="E178" s="24"/>
      <c r="F178" s="24"/>
      <c r="G178" s="24"/>
      <c r="H178" s="24"/>
      <c r="I178" s="24"/>
      <c r="J178" s="24"/>
    </row>
    <row r="179" spans="1:10">
      <c r="A179" s="23"/>
      <c r="C179" s="621"/>
      <c r="D179" s="24"/>
      <c r="E179" s="24"/>
      <c r="F179" s="24"/>
      <c r="G179" s="24"/>
      <c r="H179" s="24"/>
      <c r="I179" s="24"/>
      <c r="J179" s="24"/>
    </row>
    <row r="180" spans="1:10">
      <c r="A180" s="23"/>
      <c r="C180" s="621"/>
      <c r="D180" s="24"/>
      <c r="E180" s="24"/>
      <c r="F180" s="24"/>
      <c r="G180" s="24"/>
      <c r="H180" s="24"/>
      <c r="I180" s="24"/>
      <c r="J180" s="24"/>
    </row>
    <row r="181" spans="1:10">
      <c r="A181" s="23"/>
      <c r="C181" s="621"/>
      <c r="D181" s="24"/>
      <c r="E181" s="24"/>
      <c r="F181" s="24"/>
      <c r="G181" s="24"/>
      <c r="H181" s="24"/>
      <c r="I181" s="24"/>
      <c r="J181" s="24"/>
    </row>
    <row r="182" spans="1:10">
      <c r="A182" s="23"/>
      <c r="C182" s="621"/>
      <c r="D182" s="24"/>
      <c r="E182" s="24"/>
      <c r="F182" s="24"/>
      <c r="G182" s="24"/>
      <c r="H182" s="24"/>
      <c r="I182" s="24"/>
      <c r="J182" s="24"/>
    </row>
    <row r="183" spans="1:10">
      <c r="A183" s="23"/>
      <c r="C183" s="621"/>
      <c r="D183" s="24"/>
      <c r="E183" s="24"/>
      <c r="F183" s="24"/>
      <c r="G183" s="24"/>
      <c r="H183" s="24"/>
      <c r="I183" s="24"/>
      <c r="J183" s="24"/>
    </row>
    <row r="184" spans="1:10">
      <c r="A184" s="23"/>
      <c r="C184" s="621"/>
      <c r="D184" s="24"/>
      <c r="E184" s="24"/>
      <c r="F184" s="24"/>
      <c r="G184" s="24"/>
      <c r="H184" s="24"/>
      <c r="I184" s="24"/>
      <c r="J184" s="24"/>
    </row>
    <row r="185" spans="1:10">
      <c r="A185" s="23"/>
      <c r="C185" s="621"/>
      <c r="D185" s="24"/>
      <c r="E185" s="24"/>
      <c r="F185" s="24"/>
      <c r="G185" s="24"/>
      <c r="H185" s="24"/>
      <c r="I185" s="24"/>
      <c r="J185" s="24"/>
    </row>
    <row r="186" spans="1:10">
      <c r="A186" s="23"/>
      <c r="C186" s="621"/>
      <c r="D186" s="24"/>
      <c r="E186" s="24"/>
      <c r="F186" s="24"/>
      <c r="G186" s="24"/>
      <c r="H186" s="24"/>
      <c r="I186" s="24"/>
      <c r="J186" s="24"/>
    </row>
    <row r="187" spans="1:10">
      <c r="A187" s="23"/>
      <c r="C187" s="621"/>
      <c r="D187" s="24"/>
      <c r="E187" s="24"/>
      <c r="F187" s="24"/>
      <c r="G187" s="24"/>
      <c r="H187" s="24"/>
      <c r="I187" s="24"/>
      <c r="J187" s="24"/>
    </row>
    <row r="188" spans="1:10">
      <c r="A188" s="23"/>
      <c r="C188" s="621"/>
      <c r="D188" s="24"/>
      <c r="E188" s="24"/>
      <c r="F188" s="24"/>
      <c r="G188" s="24"/>
      <c r="H188" s="24"/>
      <c r="I188" s="24"/>
      <c r="J188" s="24"/>
    </row>
    <row r="189" spans="1:10">
      <c r="A189" s="23"/>
      <c r="C189" s="621"/>
      <c r="D189" s="24"/>
      <c r="E189" s="24"/>
      <c r="F189" s="24"/>
      <c r="G189" s="24"/>
      <c r="H189" s="24"/>
      <c r="I189" s="24"/>
      <c r="J189" s="24"/>
    </row>
    <row r="190" spans="1:10">
      <c r="A190" s="23"/>
      <c r="C190" s="621"/>
      <c r="D190" s="24"/>
      <c r="E190" s="24"/>
      <c r="F190" s="24"/>
      <c r="G190" s="24"/>
      <c r="H190" s="24"/>
      <c r="I190" s="24"/>
      <c r="J190" s="24"/>
    </row>
    <row r="191" spans="1:10">
      <c r="A191" s="43"/>
    </row>
    <row r="192" spans="1:10">
      <c r="A192" s="43"/>
    </row>
    <row r="193" spans="1:1">
      <c r="A193" s="43"/>
    </row>
    <row r="194" spans="1:1">
      <c r="A194" s="43"/>
    </row>
    <row r="195" spans="1:1">
      <c r="A195" s="43"/>
    </row>
    <row r="196" spans="1:1">
      <c r="A196" s="43"/>
    </row>
    <row r="197" spans="1:1">
      <c r="A197" s="43"/>
    </row>
    <row r="198" spans="1:1">
      <c r="A198" s="43"/>
    </row>
    <row r="199" spans="1:1">
      <c r="A199" s="43"/>
    </row>
    <row r="200" spans="1:1">
      <c r="A200" s="43"/>
    </row>
    <row r="201" spans="1:1">
      <c r="A201" s="43"/>
    </row>
    <row r="202" spans="1:1">
      <c r="A202" s="43"/>
    </row>
    <row r="203" spans="1:1">
      <c r="A203" s="43"/>
    </row>
    <row r="204" spans="1:1">
      <c r="A204" s="43"/>
    </row>
    <row r="205" spans="1:1">
      <c r="A205" s="43"/>
    </row>
    <row r="206" spans="1:1">
      <c r="A206" s="43"/>
    </row>
    <row r="207" spans="1:1">
      <c r="A207" s="43"/>
    </row>
    <row r="208" spans="1:1">
      <c r="A208" s="43"/>
    </row>
    <row r="209" spans="1:1">
      <c r="A209" s="43"/>
    </row>
    <row r="210" spans="1:1">
      <c r="A210" s="43"/>
    </row>
    <row r="211" spans="1:1">
      <c r="A211" s="43"/>
    </row>
    <row r="212" spans="1:1">
      <c r="A212" s="43"/>
    </row>
    <row r="213" spans="1:1">
      <c r="A213" s="43"/>
    </row>
    <row r="214" spans="1:1">
      <c r="A214" s="43"/>
    </row>
    <row r="215" spans="1:1">
      <c r="A215" s="43"/>
    </row>
    <row r="216" spans="1:1">
      <c r="A216" s="43"/>
    </row>
    <row r="217" spans="1:1">
      <c r="A217" s="43"/>
    </row>
    <row r="218" spans="1:1">
      <c r="A218" s="43"/>
    </row>
    <row r="219" spans="1:1">
      <c r="A219" s="43"/>
    </row>
    <row r="220" spans="1:1">
      <c r="A220" s="43"/>
    </row>
    <row r="221" spans="1:1">
      <c r="A221" s="43"/>
    </row>
    <row r="222" spans="1:1">
      <c r="A222" s="43"/>
    </row>
    <row r="223" spans="1:1">
      <c r="A223" s="43"/>
    </row>
    <row r="224" spans="1:1">
      <c r="A224" s="43"/>
    </row>
    <row r="225" spans="1:1">
      <c r="A225" s="43"/>
    </row>
    <row r="226" spans="1:1">
      <c r="A226" s="43"/>
    </row>
    <row r="227" spans="1:1">
      <c r="A227" s="43"/>
    </row>
    <row r="228" spans="1:1">
      <c r="A228" s="43"/>
    </row>
    <row r="229" spans="1:1">
      <c r="A229" s="43"/>
    </row>
    <row r="230" spans="1:1">
      <c r="A230" s="43"/>
    </row>
    <row r="231" spans="1:1">
      <c r="A231" s="43"/>
    </row>
    <row r="232" spans="1:1">
      <c r="A232" s="43"/>
    </row>
    <row r="233" spans="1:1">
      <c r="A233" s="43"/>
    </row>
    <row r="234" spans="1:1">
      <c r="A234" s="43"/>
    </row>
    <row r="235" spans="1:1">
      <c r="A235" s="43"/>
    </row>
    <row r="236" spans="1:1">
      <c r="A236" s="43"/>
    </row>
    <row r="237" spans="1:1">
      <c r="A237" s="43"/>
    </row>
    <row r="238" spans="1:1">
      <c r="A238" s="43"/>
    </row>
    <row r="239" spans="1:1">
      <c r="A239" s="43"/>
    </row>
    <row r="240" spans="1:1">
      <c r="A240" s="43"/>
    </row>
    <row r="241" spans="1:1">
      <c r="A241" s="43"/>
    </row>
    <row r="242" spans="1:1">
      <c r="A242" s="43"/>
    </row>
    <row r="243" spans="1:1">
      <c r="A243" s="43"/>
    </row>
    <row r="244" spans="1:1">
      <c r="A244" s="43"/>
    </row>
    <row r="245" spans="1:1">
      <c r="A245" s="43"/>
    </row>
    <row r="246" spans="1:1">
      <c r="A246" s="43"/>
    </row>
    <row r="247" spans="1:1">
      <c r="A247" s="43"/>
    </row>
    <row r="248" spans="1:1">
      <c r="A248" s="43"/>
    </row>
    <row r="249" spans="1:1">
      <c r="A249" s="43"/>
    </row>
    <row r="250" spans="1:1">
      <c r="A250" s="43"/>
    </row>
    <row r="251" spans="1:1">
      <c r="A251" s="43"/>
    </row>
    <row r="252" spans="1:1">
      <c r="A252" s="43"/>
    </row>
    <row r="253" spans="1:1">
      <c r="A253" s="43"/>
    </row>
    <row r="254" spans="1:1">
      <c r="A254" s="43"/>
    </row>
    <row r="255" spans="1:1">
      <c r="A255" s="43"/>
    </row>
    <row r="256" spans="1:1">
      <c r="A256" s="43"/>
    </row>
    <row r="257" spans="1:1">
      <c r="A257" s="43"/>
    </row>
    <row r="258" spans="1:1">
      <c r="A258" s="43"/>
    </row>
    <row r="259" spans="1:1">
      <c r="A259" s="43"/>
    </row>
    <row r="260" spans="1:1">
      <c r="A260" s="43"/>
    </row>
    <row r="261" spans="1:1">
      <c r="A261" s="43"/>
    </row>
    <row r="262" spans="1:1">
      <c r="A262" s="43"/>
    </row>
    <row r="263" spans="1:1">
      <c r="A263" s="43"/>
    </row>
    <row r="264" spans="1:1">
      <c r="A264" s="43"/>
    </row>
    <row r="265" spans="1:1">
      <c r="A265" s="43"/>
    </row>
    <row r="266" spans="1:1">
      <c r="A266" s="43"/>
    </row>
    <row r="267" spans="1:1">
      <c r="A267" s="43"/>
    </row>
    <row r="268" spans="1:1">
      <c r="A268" s="43"/>
    </row>
    <row r="269" spans="1:1">
      <c r="A269" s="43"/>
    </row>
    <row r="270" spans="1:1">
      <c r="A270" s="43"/>
    </row>
    <row r="271" spans="1:1">
      <c r="A271" s="43"/>
    </row>
    <row r="272" spans="1:1">
      <c r="A272" s="43"/>
    </row>
    <row r="273" spans="1:1">
      <c r="A273" s="43"/>
    </row>
    <row r="274" spans="1:1">
      <c r="A274" s="43"/>
    </row>
    <row r="275" spans="1:1">
      <c r="A275" s="43"/>
    </row>
    <row r="276" spans="1:1">
      <c r="A276" s="43"/>
    </row>
    <row r="277" spans="1:1">
      <c r="A277" s="43"/>
    </row>
    <row r="278" spans="1:1">
      <c r="A278" s="43"/>
    </row>
    <row r="279" spans="1:1">
      <c r="A279" s="43"/>
    </row>
    <row r="280" spans="1:1">
      <c r="A280" s="43"/>
    </row>
    <row r="281" spans="1:1">
      <c r="A281" s="43"/>
    </row>
    <row r="282" spans="1:1">
      <c r="A282" s="43"/>
    </row>
    <row r="283" spans="1:1">
      <c r="A283" s="43"/>
    </row>
    <row r="284" spans="1:1">
      <c r="A284" s="43"/>
    </row>
    <row r="285" spans="1:1">
      <c r="A285" s="43"/>
    </row>
    <row r="286" spans="1:1">
      <c r="A286" s="43"/>
    </row>
    <row r="287" spans="1:1">
      <c r="A287" s="43"/>
    </row>
    <row r="288" spans="1:1">
      <c r="A288" s="43"/>
    </row>
    <row r="289" spans="1:1">
      <c r="A289" s="43"/>
    </row>
    <row r="290" spans="1:1">
      <c r="A290" s="43"/>
    </row>
    <row r="291" spans="1:1">
      <c r="A291" s="43"/>
    </row>
    <row r="292" spans="1:1">
      <c r="A292" s="43"/>
    </row>
    <row r="293" spans="1:1">
      <c r="A293" s="43"/>
    </row>
    <row r="294" spans="1:1">
      <c r="A294" s="43"/>
    </row>
    <row r="295" spans="1:1">
      <c r="A295" s="43"/>
    </row>
    <row r="296" spans="1:1">
      <c r="A296" s="43"/>
    </row>
    <row r="297" spans="1:1">
      <c r="A297" s="43"/>
    </row>
    <row r="298" spans="1:1">
      <c r="A298" s="43"/>
    </row>
    <row r="299" spans="1:1">
      <c r="A299" s="43"/>
    </row>
    <row r="300" spans="1:1">
      <c r="A300" s="43"/>
    </row>
    <row r="301" spans="1:1">
      <c r="A301" s="43"/>
    </row>
    <row r="302" spans="1:1">
      <c r="A302" s="43"/>
    </row>
    <row r="303" spans="1:1">
      <c r="A303" s="43"/>
    </row>
    <row r="304" spans="1:1">
      <c r="A304" s="43"/>
    </row>
    <row r="305" spans="1:1">
      <c r="A305" s="43"/>
    </row>
    <row r="306" spans="1:1">
      <c r="A306" s="43"/>
    </row>
    <row r="307" spans="1:1">
      <c r="A307" s="43"/>
    </row>
    <row r="308" spans="1:1">
      <c r="A308" s="43"/>
    </row>
    <row r="309" spans="1:1">
      <c r="A309" s="43"/>
    </row>
    <row r="310" spans="1:1">
      <c r="A310" s="43"/>
    </row>
    <row r="311" spans="1:1">
      <c r="A311" s="43"/>
    </row>
    <row r="312" spans="1:1">
      <c r="A312" s="43"/>
    </row>
    <row r="313" spans="1:1">
      <c r="A313" s="43"/>
    </row>
    <row r="314" spans="1:1">
      <c r="A314" s="43"/>
    </row>
    <row r="315" spans="1:1">
      <c r="A315" s="43"/>
    </row>
    <row r="316" spans="1:1">
      <c r="A316" s="43"/>
    </row>
    <row r="317" spans="1:1">
      <c r="A317" s="43"/>
    </row>
    <row r="318" spans="1:1">
      <c r="A318" s="43"/>
    </row>
    <row r="319" spans="1:1">
      <c r="A319" s="43"/>
    </row>
    <row r="320" spans="1:1">
      <c r="A320" s="43"/>
    </row>
    <row r="321" spans="1:1">
      <c r="A321" s="43"/>
    </row>
    <row r="322" spans="1:1">
      <c r="A322" s="43"/>
    </row>
    <row r="323" spans="1:1">
      <c r="A323" s="43"/>
    </row>
    <row r="324" spans="1:1">
      <c r="A324" s="43"/>
    </row>
    <row r="325" spans="1:1">
      <c r="A325" s="43"/>
    </row>
    <row r="326" spans="1:1">
      <c r="A326" s="43"/>
    </row>
    <row r="327" spans="1:1">
      <c r="A327" s="43"/>
    </row>
    <row r="328" spans="1:1">
      <c r="A328" s="43"/>
    </row>
    <row r="329" spans="1:1">
      <c r="A329" s="43"/>
    </row>
    <row r="330" spans="1:1">
      <c r="A330" s="43"/>
    </row>
    <row r="331" spans="1:1">
      <c r="A331" s="43"/>
    </row>
    <row r="332" spans="1:1">
      <c r="A332" s="43"/>
    </row>
    <row r="333" spans="1:1">
      <c r="A333" s="43"/>
    </row>
    <row r="334" spans="1:1">
      <c r="A334" s="43"/>
    </row>
    <row r="335" spans="1:1">
      <c r="A335" s="43"/>
    </row>
    <row r="336" spans="1:1">
      <c r="A336" s="43"/>
    </row>
    <row r="337" spans="1:1">
      <c r="A337" s="43"/>
    </row>
    <row r="338" spans="1:1">
      <c r="A338" s="43"/>
    </row>
    <row r="339" spans="1:1">
      <c r="A339" s="43"/>
    </row>
    <row r="340" spans="1:1">
      <c r="A340" s="43"/>
    </row>
    <row r="341" spans="1:1">
      <c r="A341" s="43"/>
    </row>
    <row r="342" spans="1:1">
      <c r="A342" s="43"/>
    </row>
    <row r="343" spans="1:1">
      <c r="A343" s="43"/>
    </row>
    <row r="344" spans="1:1">
      <c r="A344" s="43"/>
    </row>
    <row r="345" spans="1:1">
      <c r="A345" s="43"/>
    </row>
    <row r="346" spans="1:1">
      <c r="A346" s="43"/>
    </row>
    <row r="347" spans="1:1">
      <c r="A347" s="43"/>
    </row>
    <row r="348" spans="1:1">
      <c r="A348" s="43"/>
    </row>
    <row r="349" spans="1:1">
      <c r="A349" s="43"/>
    </row>
    <row r="350" spans="1:1">
      <c r="A350" s="43"/>
    </row>
    <row r="351" spans="1:1">
      <c r="A351" s="43"/>
    </row>
    <row r="352" spans="1:1">
      <c r="A352" s="43"/>
    </row>
    <row r="353" spans="1:1">
      <c r="A353" s="43"/>
    </row>
    <row r="354" spans="1:1">
      <c r="A354" s="43"/>
    </row>
    <row r="355" spans="1:1">
      <c r="A355" s="43"/>
    </row>
    <row r="356" spans="1:1">
      <c r="A356" s="43"/>
    </row>
    <row r="357" spans="1:1">
      <c r="A357" s="43"/>
    </row>
  </sheetData>
  <mergeCells count="19">
    <mergeCell ref="M92:M93"/>
    <mergeCell ref="D146:G146"/>
    <mergeCell ref="A1:K1"/>
    <mergeCell ref="C132:F132"/>
    <mergeCell ref="H132:J132"/>
    <mergeCell ref="K3:K4"/>
    <mergeCell ref="A6:K6"/>
    <mergeCell ref="A115:K115"/>
    <mergeCell ref="B3:B4"/>
    <mergeCell ref="A3:A4"/>
    <mergeCell ref="C3:C4"/>
    <mergeCell ref="G3:J3"/>
    <mergeCell ref="A121:K121"/>
    <mergeCell ref="C131:F131"/>
    <mergeCell ref="H131:J131"/>
    <mergeCell ref="E3:E4"/>
    <mergeCell ref="F3:F4"/>
    <mergeCell ref="D3:D4"/>
    <mergeCell ref="K7:K8"/>
  </mergeCells>
  <phoneticPr fontId="0" type="noConversion"/>
  <pageMargins left="0.98425196850393704" right="0" top="0" bottom="0" header="0.19685039370078741" footer="0.11811023622047245"/>
  <pageSetup paperSize="9" scale="43" fitToHeight="3" orientation="portrait" verticalDpi="300" r:id="rId1"/>
  <headerFooter alignWithMargins="0"/>
  <rowBreaks count="1" manualBreakCount="1">
    <brk id="80" max="10" man="1"/>
  </rowBreaks>
  <ignoredErrors>
    <ignoredError sqref="F129 F78:F80 F73:F76 F96:F99 F35 F59:F66 F50:F53 F111 F113:F11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pageSetUpPr fitToPage="1"/>
  </sheetPr>
  <dimension ref="A1:V187"/>
  <sheetViews>
    <sheetView topLeftCell="A19" zoomScaleNormal="65" zoomScaleSheetLayoutView="50" workbookViewId="0">
      <selection activeCell="P11" sqref="P11"/>
    </sheetView>
  </sheetViews>
  <sheetFormatPr defaultColWidth="77.85546875" defaultRowHeight="18.75" outlineLevelRow="1"/>
  <cols>
    <col min="1" max="1" width="44" style="37" customWidth="1"/>
    <col min="2" max="2" width="7.28515625" style="40" customWidth="1"/>
    <col min="3" max="3" width="11.85546875" style="40" customWidth="1"/>
    <col min="4" max="4" width="12.7109375" style="40" customWidth="1"/>
    <col min="5" max="5" width="13" style="40" customWidth="1"/>
    <col min="6" max="6" width="12.5703125" style="37" customWidth="1"/>
    <col min="7" max="7" width="15.140625" style="37" customWidth="1"/>
    <col min="8" max="8" width="12.5703125" style="37" customWidth="1"/>
    <col min="9" max="9" width="14.42578125" style="37" customWidth="1"/>
    <col min="10" max="10" width="13" style="37" customWidth="1"/>
    <col min="11" max="11" width="12.5703125" style="37" hidden="1" customWidth="1"/>
    <col min="12" max="12" width="9.5703125" style="37" hidden="1" customWidth="1"/>
    <col min="13" max="13" width="9.140625" style="37" hidden="1" customWidth="1"/>
    <col min="14" max="255" width="9.140625" style="37" customWidth="1"/>
    <col min="256" max="16384" width="77.85546875" style="37"/>
  </cols>
  <sheetData>
    <row r="1" spans="1:10" ht="26.25" customHeight="1">
      <c r="A1" s="758" t="s">
        <v>112</v>
      </c>
      <c r="B1" s="758"/>
      <c r="C1" s="758"/>
      <c r="D1" s="758"/>
      <c r="E1" s="758"/>
      <c r="F1" s="758"/>
      <c r="G1" s="758"/>
      <c r="H1" s="758"/>
      <c r="I1" s="758"/>
      <c r="J1" s="758"/>
    </row>
    <row r="2" spans="1:10" ht="4.5" customHeight="1" outlineLevel="1">
      <c r="A2" s="36"/>
      <c r="B2" s="44"/>
      <c r="C2" s="36"/>
      <c r="D2" s="36"/>
      <c r="E2" s="36"/>
      <c r="F2" s="36"/>
      <c r="G2" s="36"/>
      <c r="H2" s="36"/>
      <c r="I2" s="36"/>
      <c r="J2" s="36"/>
    </row>
    <row r="3" spans="1:10" ht="24" customHeight="1">
      <c r="A3" s="732" t="s">
        <v>167</v>
      </c>
      <c r="B3" s="759" t="s">
        <v>14</v>
      </c>
      <c r="C3" s="760" t="s">
        <v>23</v>
      </c>
      <c r="D3" s="760" t="s">
        <v>29</v>
      </c>
      <c r="E3" s="761" t="s">
        <v>113</v>
      </c>
      <c r="F3" s="762" t="s">
        <v>17</v>
      </c>
      <c r="G3" s="734" t="s">
        <v>123</v>
      </c>
      <c r="H3" s="734"/>
      <c r="I3" s="734"/>
      <c r="J3" s="734"/>
    </row>
    <row r="4" spans="1:10" ht="48.75" customHeight="1">
      <c r="A4" s="732"/>
      <c r="B4" s="759"/>
      <c r="C4" s="760"/>
      <c r="D4" s="760"/>
      <c r="E4" s="761"/>
      <c r="F4" s="762"/>
      <c r="G4" s="13" t="s">
        <v>124</v>
      </c>
      <c r="H4" s="13" t="s">
        <v>125</v>
      </c>
      <c r="I4" s="13" t="s">
        <v>126</v>
      </c>
      <c r="J4" s="13" t="s">
        <v>55</v>
      </c>
    </row>
    <row r="5" spans="1:10" ht="12.75" customHeight="1">
      <c r="A5" s="141">
        <v>1</v>
      </c>
      <c r="B5" s="90">
        <v>2</v>
      </c>
      <c r="C5" s="90">
        <v>3</v>
      </c>
      <c r="D5" s="90">
        <v>4</v>
      </c>
      <c r="E5" s="90">
        <v>5</v>
      </c>
      <c r="F5" s="90">
        <v>6</v>
      </c>
      <c r="G5" s="90">
        <v>7</v>
      </c>
      <c r="H5" s="90">
        <v>8</v>
      </c>
      <c r="I5" s="90">
        <v>9</v>
      </c>
      <c r="J5" s="90">
        <v>10</v>
      </c>
    </row>
    <row r="6" spans="1:10" ht="19.5" customHeight="1">
      <c r="A6" s="763" t="s">
        <v>108</v>
      </c>
      <c r="B6" s="763"/>
      <c r="C6" s="763"/>
      <c r="D6" s="763"/>
      <c r="E6" s="763"/>
      <c r="F6" s="763"/>
      <c r="G6" s="763"/>
      <c r="H6" s="763"/>
      <c r="I6" s="763"/>
      <c r="J6" s="763"/>
    </row>
    <row r="7" spans="1:10" ht="58.5" customHeight="1">
      <c r="A7" s="38" t="s">
        <v>42</v>
      </c>
      <c r="B7" s="92">
        <v>2000</v>
      </c>
      <c r="C7" s="178">
        <v>89040.1</v>
      </c>
      <c r="D7" s="206">
        <v>71934.2</v>
      </c>
      <c r="E7" s="206">
        <v>71934.2</v>
      </c>
      <c r="F7" s="179">
        <f>G7</f>
        <v>43269.160000000033</v>
      </c>
      <c r="G7" s="178">
        <f>E15</f>
        <v>43269.160000000033</v>
      </c>
      <c r="H7" s="196">
        <f>G15</f>
        <v>41379.360000000037</v>
      </c>
      <c r="I7" s="178">
        <f>H15</f>
        <v>37328.360000000044</v>
      </c>
      <c r="J7" s="178">
        <f>I15</f>
        <v>34379.410000000054</v>
      </c>
    </row>
    <row r="8" spans="1:10" ht="38.25" customHeight="1">
      <c r="A8" s="38" t="s">
        <v>500</v>
      </c>
      <c r="B8" s="92">
        <v>2010</v>
      </c>
      <c r="C8" s="178" t="s">
        <v>218</v>
      </c>
      <c r="D8" s="178" t="s">
        <v>218</v>
      </c>
      <c r="E8" s="178" t="s">
        <v>218</v>
      </c>
      <c r="F8" s="179" t="str">
        <f>G8</f>
        <v>(    )</v>
      </c>
      <c r="G8" s="178" t="s">
        <v>218</v>
      </c>
      <c r="H8" s="196" t="s">
        <v>218</v>
      </c>
      <c r="I8" s="178" t="s">
        <v>218</v>
      </c>
      <c r="J8" s="178" t="s">
        <v>218</v>
      </c>
    </row>
    <row r="9" spans="1:10" ht="24" customHeight="1">
      <c r="A9" s="8" t="s">
        <v>127</v>
      </c>
      <c r="B9" s="92">
        <v>2020</v>
      </c>
      <c r="C9" s="178" t="s">
        <v>218</v>
      </c>
      <c r="D9" s="178" t="s">
        <v>218</v>
      </c>
      <c r="E9" s="178" t="s">
        <v>218</v>
      </c>
      <c r="F9" s="179" t="str">
        <f>G9</f>
        <v>(    )</v>
      </c>
      <c r="G9" s="178" t="s">
        <v>218</v>
      </c>
      <c r="H9" s="196" t="s">
        <v>218</v>
      </c>
      <c r="I9" s="178" t="s">
        <v>218</v>
      </c>
      <c r="J9" s="178" t="s">
        <v>218</v>
      </c>
    </row>
    <row r="10" spans="1:10" s="39" customFormat="1" ht="24" customHeight="1">
      <c r="A10" s="38" t="s">
        <v>51</v>
      </c>
      <c r="B10" s="92">
        <v>2030</v>
      </c>
      <c r="C10" s="178">
        <v>-3814</v>
      </c>
      <c r="D10" s="178">
        <v>-16063.9</v>
      </c>
      <c r="E10" s="178">
        <f>-(30964.6)</f>
        <v>-30964.6</v>
      </c>
      <c r="F10" s="553">
        <f>I10+J10+H10+G10</f>
        <v>-10275.5</v>
      </c>
      <c r="G10" s="554">
        <v>-2425.5</v>
      </c>
      <c r="H10" s="178">
        <v>-4563.8</v>
      </c>
      <c r="I10" s="178">
        <f>-(3286.2)</f>
        <v>-3286.2</v>
      </c>
      <c r="J10" s="555">
        <v>0</v>
      </c>
    </row>
    <row r="11" spans="1:10" ht="30" customHeight="1">
      <c r="A11" s="102" t="s">
        <v>95</v>
      </c>
      <c r="B11" s="92">
        <v>2031</v>
      </c>
      <c r="C11" s="196" t="s">
        <v>218</v>
      </c>
      <c r="D11" s="196" t="s">
        <v>218</v>
      </c>
      <c r="E11" s="196" t="s">
        <v>218</v>
      </c>
      <c r="F11" s="179" t="str">
        <f>G11</f>
        <v>(    )</v>
      </c>
      <c r="G11" s="230" t="s">
        <v>218</v>
      </c>
      <c r="H11" s="196" t="s">
        <v>218</v>
      </c>
      <c r="I11" s="196" t="s">
        <v>218</v>
      </c>
      <c r="J11" s="196" t="s">
        <v>218</v>
      </c>
    </row>
    <row r="12" spans="1:10" ht="24" customHeight="1">
      <c r="A12" s="38" t="s">
        <v>20</v>
      </c>
      <c r="B12" s="92">
        <v>2040</v>
      </c>
      <c r="C12" s="178" t="s">
        <v>218</v>
      </c>
      <c r="D12" s="178" t="s">
        <v>218</v>
      </c>
      <c r="E12" s="178" t="s">
        <v>218</v>
      </c>
      <c r="F12" s="179" t="s">
        <v>218</v>
      </c>
      <c r="G12" s="178" t="s">
        <v>218</v>
      </c>
      <c r="H12" s="196" t="s">
        <v>218</v>
      </c>
      <c r="I12" s="178" t="s">
        <v>218</v>
      </c>
      <c r="J12" s="178" t="s">
        <v>218</v>
      </c>
    </row>
    <row r="13" spans="1:10" ht="21.75" customHeight="1">
      <c r="A13" s="38" t="s">
        <v>394</v>
      </c>
      <c r="B13" s="92">
        <v>2050</v>
      </c>
      <c r="C13" s="178"/>
      <c r="D13" s="178" t="s">
        <v>218</v>
      </c>
      <c r="E13" s="178" t="s">
        <v>218</v>
      </c>
      <c r="F13" s="179" t="s">
        <v>218</v>
      </c>
      <c r="G13" s="178" t="s">
        <v>218</v>
      </c>
      <c r="H13" s="196" t="s">
        <v>218</v>
      </c>
      <c r="I13" s="178" t="s">
        <v>218</v>
      </c>
      <c r="J13" s="178" t="s">
        <v>218</v>
      </c>
    </row>
    <row r="14" spans="1:10" ht="23.25" customHeight="1">
      <c r="A14" s="38" t="s">
        <v>395</v>
      </c>
      <c r="B14" s="92">
        <v>2060</v>
      </c>
      <c r="C14" s="178">
        <v>0</v>
      </c>
      <c r="D14" s="178" t="s">
        <v>218</v>
      </c>
      <c r="E14" s="178" t="s">
        <v>218</v>
      </c>
      <c r="F14" s="179" t="s">
        <v>218</v>
      </c>
      <c r="G14" s="178" t="s">
        <v>218</v>
      </c>
      <c r="H14" s="196" t="s">
        <v>218</v>
      </c>
      <c r="I14" s="178" t="s">
        <v>218</v>
      </c>
      <c r="J14" s="178" t="s">
        <v>218</v>
      </c>
    </row>
    <row r="15" spans="1:10" ht="56.25" customHeight="1">
      <c r="A15" s="131" t="s">
        <v>43</v>
      </c>
      <c r="B15" s="137">
        <v>2070</v>
      </c>
      <c r="C15" s="199">
        <f>SUM(C7,C8,C9,C10,C12,C13,C14)+'I. Фін результат'!C111</f>
        <v>92550.000000000015</v>
      </c>
      <c r="D15" s="198">
        <f>SUM(D7,D8,D9,D10,D12,D13,D14)+'I. Фін результат'!D111</f>
        <v>59708.499999999978</v>
      </c>
      <c r="E15" s="198">
        <f>SUM(E7,E8,E9,E10,E12,E13,E14)+'I. Фін результат'!E111</f>
        <v>43269.160000000033</v>
      </c>
      <c r="F15" s="198">
        <f>J15</f>
        <v>35193.610000000052</v>
      </c>
      <c r="G15" s="198">
        <f>SUM(G7,G8,G9,G10,G12,G13,G14)+'I. Фін результат'!G111</f>
        <v>41379.360000000037</v>
      </c>
      <c r="H15" s="199">
        <f>SUM(H7,H8,H9,H10,H12,H13,H14)+'I. Фін результат'!H111</f>
        <v>37328.360000000044</v>
      </c>
      <c r="I15" s="198">
        <f>SUM(I7,I8,I9,I10,I12,I13,I14)+'I. Фін результат'!I111</f>
        <v>34379.410000000054</v>
      </c>
      <c r="J15" s="198">
        <f>SUM(J7,J8,J9,J10,J12,J13,J14)+'I. Фін результат'!J111</f>
        <v>35193.610000000052</v>
      </c>
    </row>
    <row r="16" spans="1:10" ht="39" customHeight="1">
      <c r="A16" s="763" t="s">
        <v>109</v>
      </c>
      <c r="B16" s="763"/>
      <c r="C16" s="763"/>
      <c r="D16" s="763"/>
      <c r="E16" s="763"/>
      <c r="F16" s="763"/>
      <c r="G16" s="763"/>
      <c r="H16" s="763"/>
      <c r="I16" s="763"/>
      <c r="J16" s="763"/>
    </row>
    <row r="17" spans="1:13" ht="36.75" customHeight="1">
      <c r="A17" s="38" t="s">
        <v>227</v>
      </c>
      <c r="B17" s="92">
        <v>2100</v>
      </c>
      <c r="C17" s="178"/>
      <c r="D17" s="178"/>
      <c r="E17" s="178"/>
      <c r="F17" s="179">
        <f t="shared" ref="F17:F33" si="0">SUM(G17:J17)</f>
        <v>0</v>
      </c>
      <c r="G17" s="178"/>
      <c r="H17" s="178"/>
      <c r="I17" s="178"/>
      <c r="J17" s="178"/>
    </row>
    <row r="18" spans="1:13" s="39" customFormat="1" ht="24.75" customHeight="1">
      <c r="A18" s="38" t="s">
        <v>111</v>
      </c>
      <c r="B18" s="90">
        <v>2110</v>
      </c>
      <c r="C18" s="178"/>
      <c r="D18" s="178"/>
      <c r="E18" s="178"/>
      <c r="F18" s="179">
        <f t="shared" si="0"/>
        <v>0</v>
      </c>
      <c r="G18" s="178"/>
      <c r="H18" s="178"/>
      <c r="I18" s="178"/>
      <c r="J18" s="178"/>
    </row>
    <row r="19" spans="1:13" ht="73.5" customHeight="1">
      <c r="A19" s="38" t="s">
        <v>204</v>
      </c>
      <c r="B19" s="90">
        <v>2120</v>
      </c>
      <c r="C19" s="178">
        <v>0</v>
      </c>
      <c r="D19" s="178">
        <v>4</v>
      </c>
      <c r="E19" s="178">
        <v>6.5</v>
      </c>
      <c r="F19" s="179">
        <f t="shared" si="0"/>
        <v>6.5</v>
      </c>
      <c r="G19" s="178">
        <f>'ІІІ. Рух грош. коштів'!G22</f>
        <v>1.7</v>
      </c>
      <c r="H19" s="178">
        <f>'ІІІ. Рух грош. коштів'!H22</f>
        <v>1.6</v>
      </c>
      <c r="I19" s="178">
        <f>'ІІІ. Рух грош. коштів'!I22</f>
        <v>1.6</v>
      </c>
      <c r="J19" s="178">
        <f>'ІІІ. Рух грош. коштів'!J22</f>
        <v>1.6</v>
      </c>
    </row>
    <row r="20" spans="1:13" ht="77.25" customHeight="1">
      <c r="A20" s="38" t="s">
        <v>205</v>
      </c>
      <c r="B20" s="90">
        <v>2130</v>
      </c>
      <c r="C20" s="178" t="s">
        <v>218</v>
      </c>
      <c r="D20" s="178" t="s">
        <v>218</v>
      </c>
      <c r="E20" s="178" t="s">
        <v>218</v>
      </c>
      <c r="F20" s="179">
        <f>SUM(G20:J20)</f>
        <v>0</v>
      </c>
      <c r="G20" s="178" t="s">
        <v>218</v>
      </c>
      <c r="H20" s="178" t="s">
        <v>218</v>
      </c>
      <c r="I20" s="178" t="s">
        <v>218</v>
      </c>
      <c r="J20" s="178" t="s">
        <v>218</v>
      </c>
    </row>
    <row r="21" spans="1:13" s="41" customFormat="1" ht="73.5" customHeight="1">
      <c r="A21" s="50" t="s">
        <v>393</v>
      </c>
      <c r="B21" s="101">
        <v>2140</v>
      </c>
      <c r="C21" s="199">
        <f>SUM(C22:C26,C29,C30)+C32</f>
        <v>27658.899999999998</v>
      </c>
      <c r="D21" s="198">
        <f>SUM(D22:D26,D29,D30)</f>
        <v>33030.200000000004</v>
      </c>
      <c r="E21" s="198">
        <f>SUM(E22:E26,E29,E30)</f>
        <v>29886.400000000001</v>
      </c>
      <c r="F21" s="198">
        <f>SUM(G21:J21)</f>
        <v>30520.0795</v>
      </c>
      <c r="G21" s="198">
        <f>SUM(G22:G26,G29,G30)</f>
        <v>7565.01</v>
      </c>
      <c r="H21" s="198">
        <f>SUM(H22:H26,H29,H30)</f>
        <v>7705.3449999999984</v>
      </c>
      <c r="I21" s="198">
        <f>SUM(I22:I26,I29,I30)</f>
        <v>7657.8154999999997</v>
      </c>
      <c r="J21" s="198">
        <f>SUM(J22:J26,J29,J30)</f>
        <v>7591.9090000000006</v>
      </c>
      <c r="K21" s="560"/>
    </row>
    <row r="22" spans="1:13" ht="20.100000000000001" customHeight="1">
      <c r="A22" s="102" t="s">
        <v>66</v>
      </c>
      <c r="B22" s="90">
        <v>2141</v>
      </c>
      <c r="C22" s="178"/>
      <c r="D22" s="196"/>
      <c r="E22" s="196"/>
      <c r="F22" s="179">
        <f t="shared" si="0"/>
        <v>0</v>
      </c>
      <c r="G22" s="178"/>
      <c r="H22" s="178"/>
      <c r="I22" s="178"/>
      <c r="J22" s="178"/>
    </row>
    <row r="23" spans="1:13" ht="20.100000000000001" customHeight="1">
      <c r="A23" s="102" t="s">
        <v>84</v>
      </c>
      <c r="B23" s="90">
        <v>2142</v>
      </c>
      <c r="C23" s="178"/>
      <c r="D23" s="196"/>
      <c r="E23" s="196"/>
      <c r="F23" s="179">
        <f t="shared" si="0"/>
        <v>0</v>
      </c>
      <c r="G23" s="178"/>
      <c r="H23" s="178"/>
      <c r="I23" s="178"/>
      <c r="J23" s="178"/>
    </row>
    <row r="24" spans="1:13" ht="20.100000000000001" customHeight="1">
      <c r="A24" s="102" t="s">
        <v>77</v>
      </c>
      <c r="B24" s="90">
        <v>2143</v>
      </c>
      <c r="C24" s="178"/>
      <c r="D24" s="196"/>
      <c r="E24" s="196"/>
      <c r="F24" s="179">
        <f t="shared" si="0"/>
        <v>0</v>
      </c>
      <c r="G24" s="178"/>
      <c r="H24" s="178"/>
      <c r="I24" s="178"/>
      <c r="J24" s="178"/>
    </row>
    <row r="25" spans="1:13" ht="20.100000000000001" customHeight="1">
      <c r="A25" s="102" t="s">
        <v>64</v>
      </c>
      <c r="B25" s="90">
        <v>2144</v>
      </c>
      <c r="C25" s="178">
        <v>24988.1</v>
      </c>
      <c r="D25" s="196">
        <v>25846.7</v>
      </c>
      <c r="E25" s="196">
        <v>23387.8</v>
      </c>
      <c r="F25" s="179">
        <f>SUM(G25:J25)</f>
        <v>23880.896999999997</v>
      </c>
      <c r="G25" s="178">
        <f>'ІІІ. Рух грош. коштів'!G19</f>
        <v>5916.0599999999995</v>
      </c>
      <c r="H25" s="178">
        <f>'ІІІ. Рух грош. коштів'!H19</f>
        <v>6030.2699999999986</v>
      </c>
      <c r="I25" s="178">
        <f>'ІІІ. Рух грош. коштів'!I19</f>
        <v>5993.0729999999994</v>
      </c>
      <c r="J25" s="178">
        <f>'ІІІ. Рух грош. коштів'!J19</f>
        <v>5941.4940000000006</v>
      </c>
    </row>
    <row r="26" spans="1:13" s="39" customFormat="1" ht="20.100000000000001" customHeight="1">
      <c r="A26" s="102" t="s">
        <v>116</v>
      </c>
      <c r="B26" s="90">
        <v>2145</v>
      </c>
      <c r="C26" s="178">
        <f>C27+C28</f>
        <v>54.8</v>
      </c>
      <c r="D26" s="178">
        <f t="shared" ref="D26:J26" si="1">D27+D28</f>
        <v>0</v>
      </c>
      <c r="E26" s="178">
        <f t="shared" si="1"/>
        <v>0</v>
      </c>
      <c r="F26" s="179">
        <f t="shared" si="0"/>
        <v>0</v>
      </c>
      <c r="G26" s="178">
        <f>G28</f>
        <v>0</v>
      </c>
      <c r="H26" s="178">
        <f>H28</f>
        <v>0</v>
      </c>
      <c r="I26" s="178">
        <f t="shared" si="1"/>
        <v>0</v>
      </c>
      <c r="J26" s="178">
        <f t="shared" si="1"/>
        <v>0</v>
      </c>
    </row>
    <row r="27" spans="1:13" s="39" customFormat="1" ht="39.75" customHeight="1">
      <c r="A27" s="511" t="s">
        <v>708</v>
      </c>
      <c r="B27" s="90" t="s">
        <v>709</v>
      </c>
      <c r="C27" s="178"/>
      <c r="D27" s="196"/>
      <c r="E27" s="196"/>
      <c r="F27" s="179"/>
      <c r="G27" s="178"/>
      <c r="H27" s="178"/>
      <c r="I27" s="178"/>
      <c r="J27" s="178"/>
    </row>
    <row r="28" spans="1:13" s="39" customFormat="1" ht="29.25" customHeight="1">
      <c r="A28" s="511" t="s">
        <v>597</v>
      </c>
      <c r="B28" s="90" t="s">
        <v>710</v>
      </c>
      <c r="C28" s="178">
        <v>54.8</v>
      </c>
      <c r="D28" s="196">
        <v>0</v>
      </c>
      <c r="E28" s="196">
        <v>0</v>
      </c>
      <c r="F28" s="179">
        <f>G28+H28+I28+J28</f>
        <v>0</v>
      </c>
      <c r="G28" s="178"/>
      <c r="H28" s="178"/>
      <c r="I28" s="206"/>
      <c r="J28" s="206"/>
    </row>
    <row r="29" spans="1:13" s="39" customFormat="1" ht="33" customHeight="1">
      <c r="A29" s="102" t="s">
        <v>538</v>
      </c>
      <c r="B29" s="90">
        <v>2146</v>
      </c>
      <c r="C29" s="196">
        <v>2.9</v>
      </c>
      <c r="D29" s="196">
        <v>3.9</v>
      </c>
      <c r="E29" s="196">
        <v>2</v>
      </c>
      <c r="F29" s="197">
        <f>SUM(G29:J29)</f>
        <v>5.6</v>
      </c>
      <c r="G29" s="196">
        <v>5.6</v>
      </c>
      <c r="H29" s="196"/>
      <c r="I29" s="196"/>
      <c r="J29" s="196">
        <f>-'I. Фін результат'!J90</f>
        <v>0</v>
      </c>
      <c r="K29" s="638" t="s">
        <v>732</v>
      </c>
      <c r="L29" s="639"/>
      <c r="M29" s="639"/>
    </row>
    <row r="30" spans="1:13" ht="20.100000000000001" customHeight="1">
      <c r="A30" s="102" t="s">
        <v>71</v>
      </c>
      <c r="B30" s="90">
        <v>2147</v>
      </c>
      <c r="C30" s="196">
        <f>C31</f>
        <v>2613.1</v>
      </c>
      <c r="D30" s="196">
        <f>D31+D32</f>
        <v>7179.6</v>
      </c>
      <c r="E30" s="196">
        <f>E31+E32</f>
        <v>6496.6</v>
      </c>
      <c r="F30" s="197">
        <f t="shared" si="0"/>
        <v>6633.5825000000004</v>
      </c>
      <c r="G30" s="196">
        <f>G31</f>
        <v>1643.3500000000001</v>
      </c>
      <c r="H30" s="196">
        <f>H31</f>
        <v>1675.0749999999998</v>
      </c>
      <c r="I30" s="196">
        <f>I31</f>
        <v>1664.7425000000001</v>
      </c>
      <c r="J30" s="196">
        <f>J31</f>
        <v>1650.4150000000002</v>
      </c>
    </row>
    <row r="31" spans="1:13" ht="20.100000000000001" customHeight="1">
      <c r="A31" s="102" t="s">
        <v>449</v>
      </c>
      <c r="B31" s="150" t="s">
        <v>450</v>
      </c>
      <c r="C31" s="196">
        <v>2613.1</v>
      </c>
      <c r="D31" s="196">
        <v>7179.6</v>
      </c>
      <c r="E31" s="196">
        <v>6496.6</v>
      </c>
      <c r="F31" s="197">
        <f>SUM(G31:J31)</f>
        <v>6633.5825000000004</v>
      </c>
      <c r="G31" s="196">
        <f>'ІІІ. Рух грош. коштів'!G20</f>
        <v>1643.3500000000001</v>
      </c>
      <c r="H31" s="196">
        <f>'ІІІ. Рух грош. коштів'!H20</f>
        <v>1675.0749999999998</v>
      </c>
      <c r="I31" s="196">
        <f>'ІІІ. Рух грош. коштів'!I20</f>
        <v>1664.7425000000001</v>
      </c>
      <c r="J31" s="196">
        <f>'ІІІ. Рух грош. коштів'!J20</f>
        <v>1650.4150000000002</v>
      </c>
    </row>
    <row r="32" spans="1:13" ht="16.5" customHeight="1">
      <c r="A32" s="102"/>
      <c r="B32" s="150"/>
      <c r="C32" s="196"/>
      <c r="D32" s="196"/>
      <c r="E32" s="196"/>
      <c r="F32" s="197"/>
      <c r="G32" s="196"/>
      <c r="H32" s="196"/>
      <c r="I32" s="196"/>
      <c r="J32" s="196"/>
    </row>
    <row r="33" spans="1:22" s="39" customFormat="1" ht="39" customHeight="1">
      <c r="A33" s="38" t="s">
        <v>392</v>
      </c>
      <c r="B33" s="90">
        <v>2150</v>
      </c>
      <c r="C33" s="178">
        <v>28023.5</v>
      </c>
      <c r="D33" s="196">
        <v>29565.5</v>
      </c>
      <c r="E33" s="196">
        <v>26077.8</v>
      </c>
      <c r="F33" s="179">
        <f t="shared" si="0"/>
        <v>27276.100000000002</v>
      </c>
      <c r="G33" s="178">
        <f>'ІІІ. Рух грош. коштів'!G21</f>
        <v>6764</v>
      </c>
      <c r="H33" s="178">
        <f>'ІІІ. Рух грош. коштів'!H21</f>
        <v>6870.2000000000007</v>
      </c>
      <c r="I33" s="178">
        <f>'ІІІ. Рух грош. коштів'!I21</f>
        <v>6846.2000000000007</v>
      </c>
      <c r="J33" s="178">
        <f>'ІІІ. Рух грош. коштів'!J21</f>
        <v>6795.7000000000007</v>
      </c>
    </row>
    <row r="34" spans="1:22" s="39" customFormat="1" ht="36.75" customHeight="1">
      <c r="A34" s="50" t="s">
        <v>169</v>
      </c>
      <c r="B34" s="101">
        <v>2200</v>
      </c>
      <c r="C34" s="632">
        <f>SUM(C17,C18:C20,C21,C33)</f>
        <v>55682.399999999994</v>
      </c>
      <c r="D34" s="199">
        <f>SUM(D17,D18:D20,D21,D33)</f>
        <v>62599.700000000004</v>
      </c>
      <c r="E34" s="199">
        <f>SUM(E17,E18:E20,E21,E33)</f>
        <v>55970.7</v>
      </c>
      <c r="F34" s="198">
        <f>SUM(G34:J34)</f>
        <v>57802.679499999998</v>
      </c>
      <c r="G34" s="198">
        <f>SUM(G17,G18:G20,G21,G33)</f>
        <v>14330.71</v>
      </c>
      <c r="H34" s="198">
        <f>SUM(H17,H18:H20,H21,H33)</f>
        <v>14577.145</v>
      </c>
      <c r="I34" s="198">
        <f>SUM(I17,I18:I20,I21,I33)</f>
        <v>14505.6155</v>
      </c>
      <c r="J34" s="198">
        <f>SUM(J17,J18:J20,J21,J33)</f>
        <v>14389.209000000003</v>
      </c>
      <c r="K34" s="37"/>
      <c r="P34" s="313"/>
      <c r="Q34" s="145"/>
      <c r="R34" s="750"/>
      <c r="S34" s="751"/>
      <c r="T34" s="751"/>
      <c r="U34" s="751"/>
    </row>
    <row r="35" spans="1:22" s="39" customFormat="1" ht="9.75" customHeight="1">
      <c r="A35" s="57"/>
      <c r="B35" s="40"/>
      <c r="C35" s="55"/>
      <c r="D35" s="56"/>
      <c r="E35" s="56"/>
      <c r="F35" s="55"/>
      <c r="G35" s="56"/>
      <c r="H35" s="56"/>
      <c r="I35" s="56"/>
      <c r="J35" s="56"/>
    </row>
    <row r="36" spans="1:22" s="2" customFormat="1" ht="23.25" customHeight="1">
      <c r="A36" s="238" t="s">
        <v>740</v>
      </c>
      <c r="B36" s="1"/>
      <c r="C36" s="764" t="s">
        <v>85</v>
      </c>
      <c r="D36" s="765"/>
      <c r="E36" s="765"/>
      <c r="F36" s="765"/>
      <c r="G36" s="12"/>
      <c r="H36" s="766" t="s">
        <v>760</v>
      </c>
      <c r="I36" s="766"/>
      <c r="J36" s="766"/>
    </row>
    <row r="37" spans="1:22" s="2" customFormat="1" ht="12" customHeight="1">
      <c r="A37" s="85" t="s">
        <v>59</v>
      </c>
      <c r="B37" s="126"/>
      <c r="C37" s="731" t="s">
        <v>60</v>
      </c>
      <c r="D37" s="731"/>
      <c r="E37" s="731"/>
      <c r="F37" s="731"/>
      <c r="G37" s="125"/>
      <c r="H37" s="753" t="s">
        <v>82</v>
      </c>
      <c r="I37" s="753"/>
      <c r="J37" s="753"/>
    </row>
    <row r="38" spans="1:22" s="40" customFormat="1">
      <c r="A38" s="52"/>
      <c r="F38" s="37"/>
      <c r="G38" s="37"/>
      <c r="H38" s="37"/>
      <c r="I38" s="37"/>
      <c r="J38" s="37"/>
      <c r="K38" s="37"/>
      <c r="L38" s="37"/>
    </row>
    <row r="39" spans="1:22" s="40" customFormat="1">
      <c r="A39" s="52"/>
      <c r="E39" s="561"/>
      <c r="F39" s="37"/>
      <c r="G39" s="37"/>
      <c r="H39" s="37"/>
      <c r="I39" s="37"/>
      <c r="J39" s="37"/>
      <c r="K39" s="37"/>
      <c r="L39" s="37"/>
    </row>
    <row r="40" spans="1:22" s="40" customFormat="1">
      <c r="A40" s="52"/>
      <c r="F40" s="37"/>
      <c r="G40" s="37"/>
      <c r="H40" s="37"/>
      <c r="I40" s="37"/>
      <c r="J40" s="37"/>
      <c r="K40" s="37"/>
      <c r="L40" s="37"/>
    </row>
    <row r="41" spans="1:22" s="40" customFormat="1">
      <c r="A41" s="52"/>
      <c r="F41" s="37"/>
      <c r="G41" s="523"/>
      <c r="H41" s="37"/>
      <c r="I41" s="37"/>
      <c r="J41" s="37"/>
      <c r="K41" s="37"/>
      <c r="L41" s="37"/>
      <c r="Q41" s="85"/>
      <c r="R41" s="2"/>
      <c r="S41" s="731"/>
      <c r="T41" s="731"/>
      <c r="U41" s="731"/>
      <c r="V41" s="731"/>
    </row>
    <row r="42" spans="1:22" s="40" customFormat="1">
      <c r="A42" s="52"/>
      <c r="F42" s="37"/>
      <c r="G42" s="37"/>
      <c r="H42" s="37"/>
      <c r="I42" s="37"/>
      <c r="J42" s="37"/>
      <c r="K42" s="37"/>
      <c r="L42" s="37"/>
    </row>
    <row r="43" spans="1:22" s="40" customFormat="1">
      <c r="A43" s="52"/>
      <c r="F43" s="37"/>
      <c r="G43" s="37"/>
      <c r="H43" s="37"/>
      <c r="I43" s="37"/>
      <c r="J43" s="37"/>
      <c r="K43" s="37"/>
      <c r="L43" s="37"/>
    </row>
    <row r="44" spans="1:22" s="40" customFormat="1">
      <c r="A44" s="52"/>
      <c r="F44" s="37"/>
      <c r="G44" s="37"/>
      <c r="H44" s="37"/>
      <c r="I44" s="37"/>
      <c r="J44" s="37"/>
      <c r="K44" s="37"/>
      <c r="L44" s="37"/>
    </row>
    <row r="45" spans="1:22" s="40" customFormat="1">
      <c r="A45" s="52"/>
      <c r="F45" s="37"/>
      <c r="G45" s="37"/>
      <c r="H45" s="37"/>
      <c r="I45" s="37"/>
      <c r="J45" s="37"/>
      <c r="K45" s="37"/>
      <c r="L45" s="37"/>
    </row>
    <row r="46" spans="1:22" s="40" customFormat="1">
      <c r="A46" s="52"/>
      <c r="F46" s="37"/>
      <c r="G46" s="37"/>
      <c r="H46" s="37"/>
      <c r="I46" s="37"/>
      <c r="J46" s="37"/>
      <c r="K46" s="37"/>
      <c r="L46" s="37"/>
    </row>
    <row r="47" spans="1:22" s="40" customFormat="1">
      <c r="A47" s="52"/>
      <c r="F47" s="37"/>
      <c r="G47" s="37"/>
      <c r="H47" s="37"/>
      <c r="I47" s="37"/>
      <c r="J47" s="37"/>
      <c r="K47" s="37"/>
      <c r="L47" s="37"/>
    </row>
    <row r="48" spans="1:22" s="40" customFormat="1">
      <c r="A48" s="52"/>
      <c r="F48" s="37"/>
      <c r="G48" s="37"/>
      <c r="H48" s="37"/>
      <c r="I48" s="37"/>
      <c r="J48" s="37"/>
      <c r="K48" s="37"/>
      <c r="L48" s="37"/>
    </row>
    <row r="49" spans="1:12" s="40" customFormat="1">
      <c r="A49" s="52"/>
      <c r="F49" s="37"/>
      <c r="G49" s="37"/>
      <c r="H49" s="37"/>
      <c r="I49" s="37"/>
      <c r="J49" s="37"/>
      <c r="K49" s="37"/>
      <c r="L49" s="37"/>
    </row>
    <row r="50" spans="1:12" s="40" customFormat="1">
      <c r="A50" s="52"/>
      <c r="F50" s="37"/>
      <c r="G50" s="37"/>
      <c r="H50" s="37"/>
      <c r="I50" s="37"/>
      <c r="J50" s="37"/>
      <c r="K50" s="37"/>
      <c r="L50" s="37"/>
    </row>
    <row r="51" spans="1:12" s="40" customFormat="1">
      <c r="A51" s="52"/>
      <c r="F51" s="37"/>
      <c r="G51" s="37"/>
      <c r="H51" s="37"/>
      <c r="I51" s="37"/>
      <c r="J51" s="37"/>
      <c r="K51" s="37"/>
      <c r="L51" s="37"/>
    </row>
    <row r="52" spans="1:12" s="40" customFormat="1">
      <c r="A52" s="52"/>
      <c r="F52" s="37"/>
      <c r="G52" s="37"/>
      <c r="H52" s="37"/>
      <c r="I52" s="37"/>
      <c r="J52" s="37"/>
      <c r="K52" s="37"/>
      <c r="L52" s="37"/>
    </row>
    <row r="53" spans="1:12" s="40" customFormat="1">
      <c r="A53" s="52"/>
      <c r="F53" s="37"/>
      <c r="G53" s="37"/>
      <c r="H53" s="37"/>
      <c r="I53" s="37"/>
      <c r="J53" s="37"/>
      <c r="K53" s="37"/>
      <c r="L53" s="37"/>
    </row>
    <row r="54" spans="1:12" s="40" customFormat="1">
      <c r="A54" s="52"/>
      <c r="F54" s="37"/>
      <c r="G54" s="37"/>
      <c r="H54" s="37"/>
      <c r="I54" s="37"/>
      <c r="J54" s="37"/>
      <c r="K54" s="37"/>
      <c r="L54" s="37"/>
    </row>
    <row r="55" spans="1:12" s="40" customFormat="1">
      <c r="A55" s="52"/>
      <c r="F55" s="37"/>
      <c r="G55" s="37"/>
      <c r="H55" s="37"/>
      <c r="I55" s="37"/>
      <c r="J55" s="37"/>
      <c r="K55" s="37"/>
      <c r="L55" s="37"/>
    </row>
    <row r="56" spans="1:12" s="40" customFormat="1">
      <c r="A56" s="52"/>
      <c r="F56" s="37"/>
      <c r="G56" s="37"/>
      <c r="H56" s="37"/>
      <c r="I56" s="37"/>
      <c r="J56" s="37"/>
      <c r="K56" s="37"/>
      <c r="L56" s="37"/>
    </row>
    <row r="57" spans="1:12" s="40" customFormat="1">
      <c r="A57" s="52"/>
      <c r="F57" s="37"/>
      <c r="G57" s="37"/>
      <c r="H57" s="37"/>
      <c r="I57" s="37"/>
      <c r="J57" s="37"/>
      <c r="K57" s="37"/>
      <c r="L57" s="37"/>
    </row>
    <row r="58" spans="1:12" s="40" customFormat="1">
      <c r="A58" s="52"/>
      <c r="F58" s="37"/>
      <c r="G58" s="37"/>
      <c r="H58" s="37"/>
      <c r="I58" s="37"/>
      <c r="J58" s="37"/>
      <c r="K58" s="37"/>
      <c r="L58" s="37"/>
    </row>
    <row r="59" spans="1:12" s="40" customFormat="1">
      <c r="A59" s="52"/>
      <c r="F59" s="37"/>
      <c r="G59" s="37"/>
      <c r="H59" s="37"/>
      <c r="I59" s="37"/>
      <c r="J59" s="37"/>
      <c r="K59" s="37"/>
      <c r="L59" s="37"/>
    </row>
    <row r="60" spans="1:12" s="40" customFormat="1">
      <c r="A60" s="52"/>
      <c r="F60" s="37"/>
      <c r="G60" s="37"/>
      <c r="H60" s="37"/>
      <c r="I60" s="37"/>
      <c r="J60" s="37"/>
      <c r="K60" s="37"/>
      <c r="L60" s="37"/>
    </row>
    <row r="61" spans="1:12" s="40" customFormat="1">
      <c r="A61" s="52"/>
      <c r="F61" s="37"/>
      <c r="G61" s="37"/>
      <c r="H61" s="37"/>
      <c r="I61" s="37"/>
      <c r="J61" s="37"/>
      <c r="K61" s="37"/>
      <c r="L61" s="37"/>
    </row>
    <row r="62" spans="1:12" s="40" customFormat="1">
      <c r="A62" s="52"/>
      <c r="F62" s="37"/>
      <c r="G62" s="37"/>
      <c r="H62" s="37"/>
      <c r="I62" s="37"/>
      <c r="J62" s="37"/>
      <c r="K62" s="37"/>
      <c r="L62" s="37"/>
    </row>
    <row r="63" spans="1:12" s="40" customFormat="1">
      <c r="A63" s="52"/>
      <c r="F63" s="37"/>
      <c r="G63" s="37"/>
      <c r="H63" s="37"/>
      <c r="I63" s="37"/>
      <c r="J63" s="37"/>
      <c r="K63" s="37"/>
      <c r="L63" s="37"/>
    </row>
    <row r="64" spans="1:12" s="40" customFormat="1">
      <c r="A64" s="52"/>
      <c r="F64" s="37"/>
      <c r="G64" s="37"/>
      <c r="H64" s="37"/>
      <c r="I64" s="37"/>
      <c r="J64" s="37"/>
      <c r="K64" s="37"/>
      <c r="L64" s="37"/>
    </row>
    <row r="65" spans="1:12" s="40" customFormat="1">
      <c r="A65" s="52"/>
      <c r="F65" s="37"/>
      <c r="G65" s="37"/>
      <c r="H65" s="37"/>
      <c r="I65" s="37"/>
      <c r="J65" s="37"/>
      <c r="K65" s="37"/>
      <c r="L65" s="37"/>
    </row>
    <row r="66" spans="1:12" s="40" customFormat="1">
      <c r="A66" s="52"/>
      <c r="F66" s="37"/>
      <c r="G66" s="37"/>
      <c r="H66" s="37"/>
      <c r="I66" s="37"/>
      <c r="J66" s="37"/>
      <c r="K66" s="37"/>
      <c r="L66" s="37"/>
    </row>
    <row r="67" spans="1:12" s="40" customFormat="1">
      <c r="A67" s="52"/>
      <c r="F67" s="37"/>
      <c r="G67" s="37"/>
      <c r="H67" s="37"/>
      <c r="I67" s="37"/>
      <c r="J67" s="37"/>
      <c r="K67" s="37"/>
      <c r="L67" s="37"/>
    </row>
    <row r="68" spans="1:12" s="40" customFormat="1">
      <c r="A68" s="52"/>
      <c r="F68" s="37"/>
      <c r="G68" s="37"/>
      <c r="H68" s="37"/>
      <c r="I68" s="37"/>
      <c r="J68" s="37"/>
      <c r="K68" s="37"/>
      <c r="L68" s="37"/>
    </row>
    <row r="69" spans="1:12" s="40" customFormat="1">
      <c r="A69" s="52"/>
      <c r="F69" s="37"/>
      <c r="G69" s="37"/>
      <c r="H69" s="37"/>
      <c r="I69" s="37"/>
      <c r="J69" s="37"/>
      <c r="K69" s="37"/>
      <c r="L69" s="37"/>
    </row>
    <row r="70" spans="1:12" s="40" customFormat="1">
      <c r="A70" s="52"/>
      <c r="F70" s="37"/>
      <c r="G70" s="37"/>
      <c r="H70" s="37"/>
      <c r="I70" s="37"/>
      <c r="J70" s="37"/>
      <c r="K70" s="37"/>
      <c r="L70" s="37"/>
    </row>
    <row r="71" spans="1:12" s="40" customFormat="1">
      <c r="A71" s="52"/>
      <c r="F71" s="37"/>
      <c r="G71" s="37"/>
      <c r="H71" s="37"/>
      <c r="I71" s="37"/>
      <c r="J71" s="37"/>
      <c r="K71" s="37"/>
      <c r="L71" s="37"/>
    </row>
    <row r="72" spans="1:12" s="40" customFormat="1">
      <c r="A72" s="52"/>
      <c r="F72" s="37"/>
      <c r="G72" s="37"/>
      <c r="H72" s="37"/>
      <c r="I72" s="37"/>
      <c r="J72" s="37"/>
      <c r="K72" s="37"/>
      <c r="L72" s="37"/>
    </row>
    <row r="73" spans="1:12" s="40" customFormat="1">
      <c r="A73" s="52"/>
      <c r="F73" s="37"/>
      <c r="G73" s="37"/>
      <c r="H73" s="37"/>
      <c r="I73" s="37"/>
      <c r="J73" s="37"/>
      <c r="K73" s="37"/>
      <c r="L73" s="37"/>
    </row>
    <row r="74" spans="1:12" s="40" customFormat="1">
      <c r="A74" s="52"/>
      <c r="F74" s="37"/>
      <c r="G74" s="37"/>
      <c r="H74" s="37"/>
      <c r="I74" s="37"/>
      <c r="J74" s="37"/>
      <c r="K74" s="37"/>
      <c r="L74" s="37"/>
    </row>
    <row r="75" spans="1:12" s="40" customFormat="1">
      <c r="A75" s="52"/>
      <c r="F75" s="37"/>
      <c r="G75" s="37"/>
      <c r="H75" s="37"/>
      <c r="I75" s="37"/>
      <c r="J75" s="37"/>
      <c r="K75" s="37"/>
      <c r="L75" s="37"/>
    </row>
    <row r="76" spans="1:12" s="40" customFormat="1">
      <c r="A76" s="52"/>
      <c r="F76" s="37"/>
      <c r="G76" s="37"/>
      <c r="H76" s="37"/>
      <c r="I76" s="37"/>
      <c r="J76" s="37"/>
      <c r="K76" s="37"/>
      <c r="L76" s="37"/>
    </row>
    <row r="77" spans="1:12" s="40" customFormat="1">
      <c r="A77" s="52"/>
      <c r="F77" s="37"/>
      <c r="G77" s="37"/>
      <c r="H77" s="37"/>
      <c r="I77" s="37"/>
      <c r="J77" s="37"/>
      <c r="K77" s="37"/>
      <c r="L77" s="37"/>
    </row>
    <row r="78" spans="1:12" s="40" customFormat="1">
      <c r="A78" s="52"/>
      <c r="F78" s="37"/>
      <c r="G78" s="37"/>
      <c r="H78" s="37"/>
      <c r="I78" s="37"/>
      <c r="J78" s="37"/>
      <c r="K78" s="37"/>
      <c r="L78" s="37"/>
    </row>
    <row r="79" spans="1:12" s="40" customFormat="1">
      <c r="A79" s="52"/>
      <c r="F79" s="37"/>
      <c r="G79" s="37"/>
      <c r="H79" s="37"/>
      <c r="I79" s="37"/>
      <c r="J79" s="37"/>
      <c r="K79" s="37"/>
      <c r="L79" s="37"/>
    </row>
    <row r="80" spans="1:12" s="40" customFormat="1">
      <c r="A80" s="52"/>
      <c r="F80" s="37"/>
      <c r="G80" s="37"/>
      <c r="H80" s="37"/>
      <c r="I80" s="37"/>
      <c r="J80" s="37"/>
      <c r="K80" s="37"/>
      <c r="L80" s="37"/>
    </row>
    <row r="81" spans="1:12" s="40" customFormat="1">
      <c r="A81" s="52"/>
      <c r="F81" s="37"/>
      <c r="G81" s="37"/>
      <c r="H81" s="37"/>
      <c r="I81" s="37"/>
      <c r="J81" s="37"/>
      <c r="K81" s="37"/>
      <c r="L81" s="37"/>
    </row>
    <row r="82" spans="1:12" s="40" customFormat="1">
      <c r="A82" s="52"/>
      <c r="F82" s="37"/>
      <c r="G82" s="37"/>
      <c r="H82" s="37"/>
      <c r="I82" s="37"/>
      <c r="J82" s="37"/>
      <c r="K82" s="37"/>
      <c r="L82" s="37"/>
    </row>
    <row r="83" spans="1:12" s="40" customFormat="1">
      <c r="A83" s="52"/>
      <c r="F83" s="37"/>
      <c r="G83" s="37"/>
      <c r="H83" s="37"/>
      <c r="I83" s="37"/>
      <c r="J83" s="37"/>
      <c r="K83" s="37"/>
      <c r="L83" s="37"/>
    </row>
    <row r="84" spans="1:12" s="40" customFormat="1">
      <c r="A84" s="52"/>
      <c r="F84" s="37"/>
      <c r="G84" s="37"/>
      <c r="H84" s="37"/>
      <c r="I84" s="37"/>
      <c r="J84" s="37"/>
      <c r="K84" s="37"/>
      <c r="L84" s="37"/>
    </row>
    <row r="85" spans="1:12" s="40" customFormat="1">
      <c r="A85" s="52"/>
      <c r="F85" s="37"/>
      <c r="G85" s="37"/>
      <c r="H85" s="37"/>
      <c r="I85" s="37"/>
      <c r="J85" s="37"/>
      <c r="K85" s="37"/>
      <c r="L85" s="37"/>
    </row>
    <row r="86" spans="1:12" s="40" customFormat="1">
      <c r="A86" s="52"/>
      <c r="F86" s="37"/>
      <c r="G86" s="37"/>
      <c r="H86" s="37"/>
      <c r="I86" s="37"/>
      <c r="J86" s="37"/>
      <c r="K86" s="37"/>
      <c r="L86" s="37"/>
    </row>
    <row r="87" spans="1:12" s="40" customFormat="1">
      <c r="A87" s="52"/>
      <c r="F87" s="37"/>
      <c r="G87" s="37"/>
      <c r="H87" s="37"/>
      <c r="I87" s="37"/>
      <c r="J87" s="37"/>
      <c r="K87" s="37"/>
      <c r="L87" s="37"/>
    </row>
    <row r="88" spans="1:12" s="40" customFormat="1">
      <c r="A88" s="52"/>
      <c r="F88" s="37"/>
      <c r="G88" s="37"/>
      <c r="H88" s="37"/>
      <c r="I88" s="37"/>
      <c r="J88" s="37"/>
      <c r="K88" s="37"/>
      <c r="L88" s="37"/>
    </row>
    <row r="89" spans="1:12" s="40" customFormat="1">
      <c r="A89" s="52"/>
      <c r="F89" s="37"/>
      <c r="G89" s="37"/>
      <c r="H89" s="37"/>
      <c r="I89" s="37"/>
      <c r="J89" s="37"/>
      <c r="K89" s="37"/>
      <c r="L89" s="37"/>
    </row>
    <row r="90" spans="1:12" s="40" customFormat="1">
      <c r="A90" s="52"/>
      <c r="F90" s="37"/>
      <c r="G90" s="37"/>
      <c r="H90" s="37"/>
      <c r="I90" s="37"/>
      <c r="J90" s="37"/>
      <c r="K90" s="37"/>
      <c r="L90" s="37"/>
    </row>
    <row r="91" spans="1:12" s="40" customFormat="1">
      <c r="A91" s="52"/>
      <c r="F91" s="37"/>
      <c r="G91" s="37"/>
      <c r="H91" s="37"/>
      <c r="I91" s="37"/>
      <c r="J91" s="37"/>
      <c r="K91" s="37"/>
      <c r="L91" s="37"/>
    </row>
    <row r="92" spans="1:12" s="40" customFormat="1">
      <c r="A92" s="52"/>
      <c r="F92" s="37"/>
      <c r="G92" s="37"/>
      <c r="H92" s="37"/>
      <c r="I92" s="37"/>
      <c r="J92" s="37"/>
      <c r="K92" s="37"/>
      <c r="L92" s="37"/>
    </row>
    <row r="93" spans="1:12" s="40" customFormat="1">
      <c r="A93" s="52"/>
      <c r="F93" s="37"/>
      <c r="G93" s="37"/>
      <c r="H93" s="37"/>
      <c r="I93" s="37"/>
      <c r="J93" s="37"/>
      <c r="K93" s="37"/>
      <c r="L93" s="37"/>
    </row>
    <row r="94" spans="1:12" s="40" customFormat="1">
      <c r="A94" s="52"/>
      <c r="F94" s="37"/>
      <c r="G94" s="37"/>
      <c r="H94" s="37"/>
      <c r="I94" s="37"/>
      <c r="J94" s="37"/>
      <c r="K94" s="37"/>
      <c r="L94" s="37"/>
    </row>
    <row r="95" spans="1:12" s="40" customFormat="1">
      <c r="A95" s="52"/>
      <c r="F95" s="37"/>
      <c r="G95" s="37"/>
      <c r="H95" s="37"/>
      <c r="I95" s="37"/>
      <c r="J95" s="37"/>
      <c r="K95" s="37"/>
      <c r="L95" s="37"/>
    </row>
    <row r="96" spans="1:12" s="40" customFormat="1">
      <c r="A96" s="52"/>
      <c r="F96" s="37"/>
      <c r="G96" s="37"/>
      <c r="H96" s="37"/>
      <c r="I96" s="37"/>
      <c r="J96" s="37"/>
      <c r="K96" s="37"/>
      <c r="L96" s="37"/>
    </row>
    <row r="97" spans="1:12" s="40" customFormat="1">
      <c r="A97" s="52"/>
      <c r="F97" s="37"/>
      <c r="G97" s="37"/>
      <c r="H97" s="37"/>
      <c r="I97" s="37"/>
      <c r="J97" s="37"/>
      <c r="K97" s="37"/>
      <c r="L97" s="37"/>
    </row>
    <row r="98" spans="1:12" s="40" customFormat="1">
      <c r="A98" s="52"/>
      <c r="F98" s="37"/>
      <c r="G98" s="37"/>
      <c r="H98" s="37"/>
      <c r="I98" s="37"/>
      <c r="J98" s="37"/>
      <c r="K98" s="37"/>
      <c r="L98" s="37"/>
    </row>
    <row r="99" spans="1:12" s="40" customFormat="1">
      <c r="A99" s="52"/>
      <c r="F99" s="37"/>
      <c r="G99" s="37"/>
      <c r="H99" s="37"/>
      <c r="I99" s="37"/>
      <c r="J99" s="37"/>
      <c r="K99" s="37"/>
      <c r="L99" s="37"/>
    </row>
    <row r="100" spans="1:12" s="40" customFormat="1">
      <c r="A100" s="52"/>
      <c r="F100" s="37"/>
      <c r="G100" s="37"/>
      <c r="H100" s="37"/>
      <c r="I100" s="37"/>
      <c r="J100" s="37"/>
      <c r="K100" s="37"/>
      <c r="L100" s="37"/>
    </row>
    <row r="101" spans="1:12" s="40" customFormat="1">
      <c r="A101" s="52"/>
      <c r="F101" s="37"/>
      <c r="G101" s="37"/>
      <c r="H101" s="37"/>
      <c r="I101" s="37"/>
      <c r="J101" s="37"/>
      <c r="K101" s="37"/>
      <c r="L101" s="37"/>
    </row>
    <row r="102" spans="1:12" s="40" customFormat="1">
      <c r="A102" s="52"/>
      <c r="F102" s="37"/>
      <c r="G102" s="37"/>
      <c r="H102" s="37"/>
      <c r="I102" s="37"/>
      <c r="J102" s="37"/>
      <c r="K102" s="37"/>
      <c r="L102" s="37"/>
    </row>
    <row r="103" spans="1:12" s="40" customFormat="1">
      <c r="A103" s="52"/>
      <c r="F103" s="37"/>
      <c r="G103" s="37"/>
      <c r="H103" s="37"/>
      <c r="I103" s="37"/>
      <c r="J103" s="37"/>
      <c r="K103" s="37"/>
      <c r="L103" s="37"/>
    </row>
    <row r="104" spans="1:12" s="40" customFormat="1">
      <c r="A104" s="52"/>
      <c r="F104" s="37"/>
      <c r="G104" s="37"/>
      <c r="H104" s="37"/>
      <c r="I104" s="37"/>
      <c r="J104" s="37"/>
      <c r="K104" s="37"/>
      <c r="L104" s="37"/>
    </row>
    <row r="105" spans="1:12" s="40" customFormat="1">
      <c r="A105" s="52"/>
      <c r="F105" s="37"/>
      <c r="G105" s="37"/>
      <c r="H105" s="37"/>
      <c r="I105" s="37"/>
      <c r="J105" s="37"/>
      <c r="K105" s="37"/>
      <c r="L105" s="37"/>
    </row>
    <row r="106" spans="1:12" s="40" customFormat="1">
      <c r="A106" s="52"/>
      <c r="F106" s="37"/>
      <c r="G106" s="37"/>
      <c r="H106" s="37"/>
      <c r="I106" s="37"/>
      <c r="J106" s="37"/>
      <c r="K106" s="37"/>
      <c r="L106" s="37"/>
    </row>
    <row r="107" spans="1:12" s="40" customFormat="1">
      <c r="A107" s="52"/>
      <c r="F107" s="37"/>
      <c r="G107" s="37"/>
      <c r="H107" s="37"/>
      <c r="I107" s="37"/>
      <c r="J107" s="37"/>
      <c r="K107" s="37"/>
      <c r="L107" s="37"/>
    </row>
    <row r="108" spans="1:12" s="40" customFormat="1">
      <c r="A108" s="52"/>
      <c r="F108" s="37"/>
      <c r="G108" s="37"/>
      <c r="H108" s="37"/>
      <c r="I108" s="37"/>
      <c r="J108" s="37"/>
      <c r="K108" s="37"/>
      <c r="L108" s="37"/>
    </row>
    <row r="109" spans="1:12" s="40" customFormat="1">
      <c r="A109" s="52"/>
      <c r="F109" s="37"/>
      <c r="G109" s="37"/>
      <c r="H109" s="37"/>
      <c r="I109" s="37"/>
      <c r="J109" s="37"/>
      <c r="K109" s="37"/>
      <c r="L109" s="37"/>
    </row>
    <row r="110" spans="1:12" s="40" customFormat="1">
      <c r="A110" s="52"/>
      <c r="F110" s="37"/>
      <c r="G110" s="37"/>
      <c r="H110" s="37"/>
      <c r="I110" s="37"/>
      <c r="J110" s="37"/>
      <c r="K110" s="37"/>
      <c r="L110" s="37"/>
    </row>
    <row r="111" spans="1:12" s="40" customFormat="1">
      <c r="A111" s="52"/>
      <c r="F111" s="37"/>
      <c r="G111" s="37"/>
      <c r="H111" s="37"/>
      <c r="I111" s="37"/>
      <c r="J111" s="37"/>
      <c r="K111" s="37"/>
      <c r="L111" s="37"/>
    </row>
    <row r="112" spans="1:12" s="40" customFormat="1">
      <c r="A112" s="52"/>
      <c r="F112" s="37"/>
      <c r="G112" s="37"/>
      <c r="H112" s="37"/>
      <c r="I112" s="37"/>
      <c r="J112" s="37"/>
      <c r="K112" s="37"/>
      <c r="L112" s="37"/>
    </row>
    <row r="113" spans="1:12" s="40" customFormat="1">
      <c r="A113" s="52"/>
      <c r="F113" s="37"/>
      <c r="G113" s="37"/>
      <c r="H113" s="37"/>
      <c r="I113" s="37"/>
      <c r="J113" s="37"/>
      <c r="K113" s="37"/>
      <c r="L113" s="37"/>
    </row>
    <row r="114" spans="1:12" s="40" customFormat="1">
      <c r="A114" s="52"/>
      <c r="F114" s="37"/>
      <c r="G114" s="37"/>
      <c r="H114" s="37"/>
      <c r="I114" s="37"/>
      <c r="J114" s="37"/>
      <c r="K114" s="37"/>
      <c r="L114" s="37"/>
    </row>
    <row r="115" spans="1:12" s="40" customFormat="1">
      <c r="A115" s="52"/>
      <c r="F115" s="37"/>
      <c r="G115" s="37"/>
      <c r="H115" s="37"/>
      <c r="I115" s="37"/>
      <c r="J115" s="37"/>
      <c r="K115" s="37"/>
      <c r="L115" s="37"/>
    </row>
    <row r="116" spans="1:12" s="40" customFormat="1">
      <c r="A116" s="52"/>
      <c r="F116" s="37"/>
      <c r="G116" s="37"/>
      <c r="H116" s="37"/>
      <c r="I116" s="37"/>
      <c r="J116" s="37"/>
      <c r="K116" s="37"/>
      <c r="L116" s="37"/>
    </row>
    <row r="117" spans="1:12" s="40" customFormat="1">
      <c r="A117" s="52"/>
      <c r="F117" s="37"/>
      <c r="G117" s="37"/>
      <c r="H117" s="37"/>
      <c r="I117" s="37"/>
      <c r="J117" s="37"/>
      <c r="K117" s="37"/>
      <c r="L117" s="37"/>
    </row>
    <row r="118" spans="1:12" s="40" customFormat="1">
      <c r="A118" s="52"/>
      <c r="F118" s="37"/>
      <c r="G118" s="37"/>
      <c r="H118" s="37"/>
      <c r="I118" s="37"/>
      <c r="J118" s="37"/>
      <c r="K118" s="37"/>
      <c r="L118" s="37"/>
    </row>
    <row r="119" spans="1:12" s="40" customFormat="1">
      <c r="A119" s="52"/>
      <c r="F119" s="37"/>
      <c r="G119" s="37"/>
      <c r="H119" s="37"/>
      <c r="I119" s="37"/>
      <c r="J119" s="37"/>
      <c r="K119" s="37"/>
      <c r="L119" s="37"/>
    </row>
    <row r="120" spans="1:12" s="40" customFormat="1">
      <c r="A120" s="52"/>
      <c r="F120" s="37"/>
      <c r="G120" s="37"/>
      <c r="H120" s="37"/>
      <c r="I120" s="37"/>
      <c r="J120" s="37"/>
      <c r="K120" s="37"/>
      <c r="L120" s="37"/>
    </row>
    <row r="121" spans="1:12" s="40" customFormat="1">
      <c r="A121" s="52"/>
      <c r="F121" s="37"/>
      <c r="G121" s="37"/>
      <c r="H121" s="37"/>
      <c r="I121" s="37"/>
      <c r="J121" s="37"/>
      <c r="K121" s="37"/>
      <c r="L121" s="37"/>
    </row>
    <row r="122" spans="1:12" s="40" customFormat="1">
      <c r="A122" s="52"/>
      <c r="F122" s="37"/>
      <c r="G122" s="37"/>
      <c r="H122" s="37"/>
      <c r="I122" s="37"/>
      <c r="J122" s="37"/>
      <c r="K122" s="37"/>
      <c r="L122" s="37"/>
    </row>
    <row r="123" spans="1:12" s="40" customFormat="1">
      <c r="A123" s="52"/>
      <c r="F123" s="37"/>
      <c r="G123" s="37"/>
      <c r="H123" s="37"/>
      <c r="I123" s="37"/>
      <c r="J123" s="37"/>
      <c r="K123" s="37"/>
      <c r="L123" s="37"/>
    </row>
    <row r="124" spans="1:12" s="40" customFormat="1">
      <c r="A124" s="52"/>
      <c r="F124" s="37"/>
      <c r="G124" s="37"/>
      <c r="H124" s="37"/>
      <c r="I124" s="37"/>
      <c r="J124" s="37"/>
      <c r="K124" s="37"/>
      <c r="L124" s="37"/>
    </row>
    <row r="125" spans="1:12" s="40" customFormat="1">
      <c r="A125" s="52"/>
      <c r="F125" s="37"/>
      <c r="G125" s="37"/>
      <c r="H125" s="37"/>
      <c r="I125" s="37"/>
      <c r="J125" s="37"/>
      <c r="K125" s="37"/>
      <c r="L125" s="37"/>
    </row>
    <row r="126" spans="1:12" s="40" customFormat="1">
      <c r="A126" s="52"/>
      <c r="F126" s="37"/>
      <c r="G126" s="37"/>
      <c r="H126" s="37"/>
      <c r="I126" s="37"/>
      <c r="J126" s="37"/>
      <c r="K126" s="37"/>
      <c r="L126" s="37"/>
    </row>
    <row r="127" spans="1:12" s="40" customFormat="1">
      <c r="A127" s="52"/>
      <c r="F127" s="37"/>
      <c r="G127" s="37"/>
      <c r="H127" s="37"/>
      <c r="I127" s="37"/>
      <c r="J127" s="37"/>
      <c r="K127" s="37"/>
      <c r="L127" s="37"/>
    </row>
    <row r="128" spans="1:12" s="40" customFormat="1">
      <c r="A128" s="52"/>
      <c r="F128" s="37"/>
      <c r="G128" s="37"/>
      <c r="H128" s="37"/>
      <c r="I128" s="37"/>
      <c r="J128" s="37"/>
      <c r="K128" s="37"/>
      <c r="L128" s="37"/>
    </row>
    <row r="129" spans="1:12" s="40" customFormat="1">
      <c r="A129" s="52"/>
      <c r="F129" s="37"/>
      <c r="G129" s="37"/>
      <c r="H129" s="37"/>
      <c r="I129" s="37"/>
      <c r="J129" s="37"/>
      <c r="K129" s="37"/>
      <c r="L129" s="37"/>
    </row>
    <row r="130" spans="1:12" s="40" customFormat="1">
      <c r="A130" s="52"/>
      <c r="F130" s="37"/>
      <c r="G130" s="37"/>
      <c r="H130" s="37"/>
      <c r="I130" s="37"/>
      <c r="J130" s="37"/>
      <c r="K130" s="37"/>
      <c r="L130" s="37"/>
    </row>
    <row r="131" spans="1:12" s="40" customFormat="1">
      <c r="A131" s="52"/>
      <c r="F131" s="37"/>
      <c r="G131" s="37"/>
      <c r="H131" s="37"/>
      <c r="I131" s="37"/>
      <c r="J131" s="37"/>
      <c r="K131" s="37"/>
      <c r="L131" s="37"/>
    </row>
    <row r="132" spans="1:12" s="40" customFormat="1">
      <c r="A132" s="52"/>
      <c r="F132" s="37"/>
      <c r="G132" s="37"/>
      <c r="H132" s="37"/>
      <c r="I132" s="37"/>
      <c r="J132" s="37"/>
      <c r="K132" s="37"/>
      <c r="L132" s="37"/>
    </row>
    <row r="133" spans="1:12" s="40" customFormat="1">
      <c r="A133" s="52"/>
      <c r="F133" s="37"/>
      <c r="G133" s="37"/>
      <c r="H133" s="37"/>
      <c r="I133" s="37"/>
      <c r="J133" s="37"/>
      <c r="K133" s="37"/>
      <c r="L133" s="37"/>
    </row>
    <row r="134" spans="1:12" s="40" customFormat="1">
      <c r="A134" s="52"/>
      <c r="F134" s="37"/>
      <c r="G134" s="37"/>
      <c r="H134" s="37"/>
      <c r="I134" s="37"/>
      <c r="J134" s="37"/>
      <c r="K134" s="37"/>
      <c r="L134" s="37"/>
    </row>
    <row r="135" spans="1:12" s="40" customFormat="1">
      <c r="A135" s="52"/>
      <c r="F135" s="37"/>
      <c r="G135" s="37"/>
      <c r="H135" s="37"/>
      <c r="I135" s="37"/>
      <c r="J135" s="37"/>
      <c r="K135" s="37"/>
      <c r="L135" s="37"/>
    </row>
    <row r="136" spans="1:12" s="40" customFormat="1">
      <c r="A136" s="52"/>
      <c r="F136" s="37"/>
      <c r="G136" s="37"/>
      <c r="H136" s="37"/>
      <c r="I136" s="37"/>
      <c r="J136" s="37"/>
      <c r="K136" s="37"/>
      <c r="L136" s="37"/>
    </row>
    <row r="137" spans="1:12" s="40" customFormat="1">
      <c r="A137" s="52"/>
      <c r="F137" s="37"/>
      <c r="G137" s="37"/>
      <c r="H137" s="37"/>
      <c r="I137" s="37"/>
      <c r="J137" s="37"/>
      <c r="K137" s="37"/>
      <c r="L137" s="37"/>
    </row>
    <row r="138" spans="1:12" s="40" customFormat="1">
      <c r="A138" s="52"/>
      <c r="F138" s="37"/>
      <c r="G138" s="37"/>
      <c r="H138" s="37"/>
      <c r="I138" s="37"/>
      <c r="J138" s="37"/>
      <c r="K138" s="37"/>
      <c r="L138" s="37"/>
    </row>
    <row r="139" spans="1:12" s="40" customFormat="1">
      <c r="A139" s="52"/>
      <c r="F139" s="37"/>
      <c r="G139" s="37"/>
      <c r="H139" s="37"/>
      <c r="I139" s="37"/>
      <c r="J139" s="37"/>
      <c r="K139" s="37"/>
      <c r="L139" s="37"/>
    </row>
    <row r="140" spans="1:12" s="40" customFormat="1">
      <c r="A140" s="52"/>
      <c r="F140" s="37"/>
      <c r="G140" s="37"/>
      <c r="H140" s="37"/>
      <c r="I140" s="37"/>
      <c r="J140" s="37"/>
      <c r="K140" s="37"/>
      <c r="L140" s="37"/>
    </row>
    <row r="141" spans="1:12" s="40" customFormat="1">
      <c r="A141" s="52"/>
      <c r="F141" s="37"/>
      <c r="G141" s="37"/>
      <c r="H141" s="37"/>
      <c r="I141" s="37"/>
      <c r="J141" s="37"/>
      <c r="K141" s="37"/>
      <c r="L141" s="37"/>
    </row>
    <row r="142" spans="1:12" s="40" customFormat="1">
      <c r="A142" s="52"/>
      <c r="F142" s="37"/>
      <c r="G142" s="37"/>
      <c r="H142" s="37"/>
      <c r="I142" s="37"/>
      <c r="J142" s="37"/>
      <c r="K142" s="37"/>
      <c r="L142" s="37"/>
    </row>
    <row r="143" spans="1:12" s="40" customFormat="1">
      <c r="A143" s="52"/>
      <c r="F143" s="37"/>
      <c r="G143" s="37"/>
      <c r="H143" s="37"/>
      <c r="I143" s="37"/>
      <c r="J143" s="37"/>
      <c r="K143" s="37"/>
      <c r="L143" s="37"/>
    </row>
    <row r="144" spans="1:12" s="40" customFormat="1">
      <c r="A144" s="52"/>
      <c r="F144" s="37"/>
      <c r="G144" s="37"/>
      <c r="H144" s="37"/>
      <c r="I144" s="37"/>
      <c r="J144" s="37"/>
      <c r="K144" s="37"/>
      <c r="L144" s="37"/>
    </row>
    <row r="145" spans="1:12" s="40" customFormat="1">
      <c r="A145" s="52"/>
      <c r="F145" s="37"/>
      <c r="G145" s="37"/>
      <c r="H145" s="37"/>
      <c r="I145" s="37"/>
      <c r="J145" s="37"/>
      <c r="K145" s="37"/>
      <c r="L145" s="37"/>
    </row>
    <row r="146" spans="1:12" s="40" customFormat="1">
      <c r="A146" s="52"/>
      <c r="F146" s="37"/>
      <c r="G146" s="37"/>
      <c r="H146" s="37"/>
      <c r="I146" s="37"/>
      <c r="J146" s="37"/>
      <c r="K146" s="37"/>
      <c r="L146" s="37"/>
    </row>
    <row r="147" spans="1:12" s="40" customFormat="1">
      <c r="A147" s="52"/>
      <c r="F147" s="37"/>
      <c r="G147" s="37"/>
      <c r="H147" s="37"/>
      <c r="I147" s="37"/>
      <c r="J147" s="37"/>
      <c r="K147" s="37"/>
      <c r="L147" s="37"/>
    </row>
    <row r="148" spans="1:12" s="40" customFormat="1">
      <c r="A148" s="52"/>
      <c r="F148" s="37"/>
      <c r="G148" s="37"/>
      <c r="H148" s="37"/>
      <c r="I148" s="37"/>
      <c r="J148" s="37"/>
      <c r="K148" s="37"/>
      <c r="L148" s="37"/>
    </row>
    <row r="149" spans="1:12" s="40" customFormat="1">
      <c r="A149" s="52"/>
      <c r="F149" s="37"/>
      <c r="G149" s="37"/>
      <c r="H149" s="37"/>
      <c r="I149" s="37"/>
      <c r="J149" s="37"/>
      <c r="K149" s="37"/>
      <c r="L149" s="37"/>
    </row>
    <row r="150" spans="1:12" s="40" customFormat="1">
      <c r="A150" s="52"/>
      <c r="F150" s="37"/>
      <c r="G150" s="37"/>
      <c r="H150" s="37"/>
      <c r="I150" s="37"/>
      <c r="J150" s="37"/>
      <c r="K150" s="37"/>
      <c r="L150" s="37"/>
    </row>
    <row r="151" spans="1:12" s="40" customFormat="1">
      <c r="A151" s="52"/>
      <c r="F151" s="37"/>
      <c r="G151" s="37"/>
      <c r="H151" s="37"/>
      <c r="I151" s="37"/>
      <c r="J151" s="37"/>
      <c r="K151" s="37"/>
      <c r="L151" s="37"/>
    </row>
    <row r="152" spans="1:12" s="40" customFormat="1">
      <c r="A152" s="52"/>
      <c r="F152" s="37"/>
      <c r="G152" s="37"/>
      <c r="H152" s="37"/>
      <c r="I152" s="37"/>
      <c r="J152" s="37"/>
      <c r="K152" s="37"/>
      <c r="L152" s="37"/>
    </row>
    <row r="153" spans="1:12" s="40" customFormat="1">
      <c r="A153" s="52"/>
      <c r="F153" s="37"/>
      <c r="G153" s="37"/>
      <c r="H153" s="37"/>
      <c r="I153" s="37"/>
      <c r="J153" s="37"/>
      <c r="K153" s="37"/>
      <c r="L153" s="37"/>
    </row>
    <row r="154" spans="1:12" s="40" customFormat="1">
      <c r="A154" s="52"/>
      <c r="F154" s="37"/>
      <c r="G154" s="37"/>
      <c r="H154" s="37"/>
      <c r="I154" s="37"/>
      <c r="J154" s="37"/>
      <c r="K154" s="37"/>
      <c r="L154" s="37"/>
    </row>
    <row r="155" spans="1:12" s="40" customFormat="1">
      <c r="A155" s="52"/>
      <c r="F155" s="37"/>
      <c r="G155" s="37"/>
      <c r="H155" s="37"/>
      <c r="I155" s="37"/>
      <c r="J155" s="37"/>
      <c r="K155" s="37"/>
      <c r="L155" s="37"/>
    </row>
    <row r="156" spans="1:12" s="40" customFormat="1">
      <c r="A156" s="52"/>
      <c r="F156" s="37"/>
      <c r="G156" s="37"/>
      <c r="H156" s="37"/>
      <c r="I156" s="37"/>
      <c r="J156" s="37"/>
      <c r="K156" s="37"/>
      <c r="L156" s="37"/>
    </row>
    <row r="157" spans="1:12" s="40" customFormat="1">
      <c r="A157" s="52"/>
      <c r="F157" s="37"/>
      <c r="G157" s="37"/>
      <c r="H157" s="37"/>
      <c r="I157" s="37"/>
      <c r="J157" s="37"/>
      <c r="K157" s="37"/>
      <c r="L157" s="37"/>
    </row>
    <row r="158" spans="1:12" s="40" customFormat="1">
      <c r="A158" s="52"/>
      <c r="F158" s="37"/>
      <c r="G158" s="37"/>
      <c r="H158" s="37"/>
      <c r="I158" s="37"/>
      <c r="J158" s="37"/>
      <c r="K158" s="37"/>
      <c r="L158" s="37"/>
    </row>
    <row r="159" spans="1:12" s="40" customFormat="1">
      <c r="A159" s="52"/>
      <c r="F159" s="37"/>
      <c r="G159" s="37"/>
      <c r="H159" s="37"/>
      <c r="I159" s="37"/>
      <c r="J159" s="37"/>
      <c r="K159" s="37"/>
      <c r="L159" s="37"/>
    </row>
    <row r="160" spans="1:12" s="40" customFormat="1">
      <c r="A160" s="52"/>
      <c r="F160" s="37"/>
      <c r="G160" s="37"/>
      <c r="H160" s="37"/>
      <c r="I160" s="37"/>
      <c r="J160" s="37"/>
      <c r="K160" s="37"/>
      <c r="L160" s="37"/>
    </row>
    <row r="161" spans="1:12" s="40" customFormat="1">
      <c r="A161" s="52"/>
      <c r="F161" s="37"/>
      <c r="G161" s="37"/>
      <c r="H161" s="37"/>
      <c r="I161" s="37"/>
      <c r="J161" s="37"/>
      <c r="K161" s="37"/>
      <c r="L161" s="37"/>
    </row>
    <row r="162" spans="1:12" s="40" customFormat="1">
      <c r="A162" s="52"/>
      <c r="F162" s="37"/>
      <c r="G162" s="37"/>
      <c r="H162" s="37"/>
      <c r="I162" s="37"/>
      <c r="J162" s="37"/>
      <c r="K162" s="37"/>
      <c r="L162" s="37"/>
    </row>
    <row r="163" spans="1:12" s="40" customFormat="1">
      <c r="A163" s="52"/>
      <c r="F163" s="37"/>
      <c r="G163" s="37"/>
      <c r="H163" s="37"/>
      <c r="I163" s="37"/>
      <c r="J163" s="37"/>
      <c r="K163" s="37"/>
      <c r="L163" s="37"/>
    </row>
    <row r="164" spans="1:12" s="40" customFormat="1">
      <c r="A164" s="52"/>
      <c r="F164" s="37"/>
      <c r="G164" s="37"/>
      <c r="H164" s="37"/>
      <c r="I164" s="37"/>
      <c r="J164" s="37"/>
      <c r="K164" s="37"/>
      <c r="L164" s="37"/>
    </row>
    <row r="165" spans="1:12" s="40" customFormat="1">
      <c r="A165" s="52"/>
      <c r="F165" s="37"/>
      <c r="G165" s="37"/>
      <c r="H165" s="37"/>
      <c r="I165" s="37"/>
      <c r="J165" s="37"/>
      <c r="K165" s="37"/>
      <c r="L165" s="37"/>
    </row>
    <row r="166" spans="1:12" s="40" customFormat="1">
      <c r="A166" s="52"/>
      <c r="F166" s="37"/>
      <c r="G166" s="37"/>
      <c r="H166" s="37"/>
      <c r="I166" s="37"/>
      <c r="J166" s="37"/>
      <c r="K166" s="37"/>
      <c r="L166" s="37"/>
    </row>
    <row r="167" spans="1:12" s="40" customFormat="1">
      <c r="A167" s="52"/>
      <c r="F167" s="37"/>
      <c r="G167" s="37"/>
      <c r="H167" s="37"/>
      <c r="I167" s="37"/>
      <c r="J167" s="37"/>
      <c r="K167" s="37"/>
      <c r="L167" s="37"/>
    </row>
    <row r="168" spans="1:12" s="40" customFormat="1">
      <c r="A168" s="52"/>
      <c r="F168" s="37"/>
      <c r="G168" s="37"/>
      <c r="H168" s="37"/>
      <c r="I168" s="37"/>
      <c r="J168" s="37"/>
      <c r="K168" s="37"/>
      <c r="L168" s="37"/>
    </row>
    <row r="169" spans="1:12" s="40" customFormat="1">
      <c r="A169" s="52"/>
      <c r="F169" s="37"/>
      <c r="G169" s="37"/>
      <c r="H169" s="37"/>
      <c r="I169" s="37"/>
      <c r="J169" s="37"/>
      <c r="K169" s="37"/>
      <c r="L169" s="37"/>
    </row>
    <row r="170" spans="1:12" s="40" customFormat="1">
      <c r="A170" s="52"/>
      <c r="F170" s="37"/>
      <c r="G170" s="37"/>
      <c r="H170" s="37"/>
      <c r="I170" s="37"/>
      <c r="J170" s="37"/>
      <c r="K170" s="37"/>
      <c r="L170" s="37"/>
    </row>
    <row r="171" spans="1:12" s="40" customFormat="1">
      <c r="A171" s="52"/>
      <c r="F171" s="37"/>
      <c r="G171" s="37"/>
      <c r="H171" s="37"/>
      <c r="I171" s="37"/>
      <c r="J171" s="37"/>
      <c r="K171" s="37"/>
      <c r="L171" s="37"/>
    </row>
    <row r="172" spans="1:12" s="40" customFormat="1">
      <c r="A172" s="52"/>
      <c r="F172" s="37"/>
      <c r="G172" s="37"/>
      <c r="H172" s="37"/>
      <c r="I172" s="37"/>
      <c r="J172" s="37"/>
      <c r="K172" s="37"/>
      <c r="L172" s="37"/>
    </row>
    <row r="173" spans="1:12" s="40" customFormat="1">
      <c r="A173" s="52"/>
      <c r="F173" s="37"/>
      <c r="G173" s="37"/>
      <c r="H173" s="37"/>
      <c r="I173" s="37"/>
      <c r="J173" s="37"/>
      <c r="K173" s="37"/>
      <c r="L173" s="37"/>
    </row>
    <row r="174" spans="1:12" s="40" customFormat="1">
      <c r="A174" s="52"/>
      <c r="F174" s="37"/>
      <c r="G174" s="37"/>
      <c r="H174" s="37"/>
      <c r="I174" s="37"/>
      <c r="J174" s="37"/>
      <c r="K174" s="37"/>
      <c r="L174" s="37"/>
    </row>
    <row r="175" spans="1:12" s="40" customFormat="1">
      <c r="A175" s="52"/>
      <c r="F175" s="37"/>
      <c r="G175" s="37"/>
      <c r="H175" s="37"/>
      <c r="I175" s="37"/>
      <c r="J175" s="37"/>
      <c r="K175" s="37"/>
      <c r="L175" s="37"/>
    </row>
    <row r="176" spans="1:12" s="40" customFormat="1">
      <c r="A176" s="52"/>
      <c r="F176" s="37"/>
      <c r="G176" s="37"/>
      <c r="H176" s="37"/>
      <c r="I176" s="37"/>
      <c r="J176" s="37"/>
      <c r="K176" s="37"/>
      <c r="L176" s="37"/>
    </row>
    <row r="177" spans="1:12" s="40" customFormat="1">
      <c r="A177" s="52"/>
      <c r="F177" s="37"/>
      <c r="G177" s="37"/>
      <c r="H177" s="37"/>
      <c r="I177" s="37"/>
      <c r="J177" s="37"/>
      <c r="K177" s="37"/>
      <c r="L177" s="37"/>
    </row>
    <row r="178" spans="1:12" s="40" customFormat="1">
      <c r="A178" s="52"/>
      <c r="F178" s="37"/>
      <c r="G178" s="37"/>
      <c r="H178" s="37"/>
      <c r="I178" s="37"/>
      <c r="J178" s="37"/>
      <c r="K178" s="37"/>
      <c r="L178" s="37"/>
    </row>
    <row r="179" spans="1:12" s="40" customFormat="1">
      <c r="A179" s="52"/>
      <c r="F179" s="37"/>
      <c r="G179" s="37"/>
      <c r="H179" s="37"/>
      <c r="I179" s="37"/>
      <c r="J179" s="37"/>
      <c r="K179" s="37"/>
      <c r="L179" s="37"/>
    </row>
    <row r="180" spans="1:12" s="40" customFormat="1">
      <c r="A180" s="52"/>
      <c r="F180" s="37"/>
      <c r="G180" s="37"/>
      <c r="H180" s="37"/>
      <c r="I180" s="37"/>
      <c r="J180" s="37"/>
      <c r="K180" s="37"/>
      <c r="L180" s="37"/>
    </row>
    <row r="181" spans="1:12" s="40" customFormat="1">
      <c r="A181" s="52"/>
      <c r="F181" s="37"/>
      <c r="G181" s="37"/>
      <c r="H181" s="37"/>
      <c r="I181" s="37"/>
      <c r="J181" s="37"/>
      <c r="K181" s="37"/>
      <c r="L181" s="37"/>
    </row>
    <row r="182" spans="1:12" s="40" customFormat="1">
      <c r="A182" s="52"/>
      <c r="F182" s="37"/>
      <c r="G182" s="37"/>
      <c r="H182" s="37"/>
      <c r="I182" s="37"/>
      <c r="J182" s="37"/>
      <c r="K182" s="37"/>
      <c r="L182" s="37"/>
    </row>
    <row r="183" spans="1:12" s="40" customFormat="1">
      <c r="A183" s="52"/>
      <c r="F183" s="37"/>
      <c r="G183" s="37"/>
      <c r="H183" s="37"/>
      <c r="I183" s="37"/>
      <c r="J183" s="37"/>
      <c r="K183" s="37"/>
      <c r="L183" s="37"/>
    </row>
    <row r="184" spans="1:12" s="40" customFormat="1">
      <c r="A184" s="52"/>
      <c r="F184" s="37"/>
      <c r="G184" s="37"/>
      <c r="H184" s="37"/>
      <c r="I184" s="37"/>
      <c r="J184" s="37"/>
      <c r="K184" s="37"/>
      <c r="L184" s="37"/>
    </row>
    <row r="185" spans="1:12" s="40" customFormat="1">
      <c r="A185" s="52"/>
      <c r="F185" s="37"/>
      <c r="G185" s="37"/>
      <c r="H185" s="37"/>
      <c r="I185" s="37"/>
      <c r="J185" s="37"/>
      <c r="K185" s="37"/>
      <c r="L185" s="37"/>
    </row>
    <row r="186" spans="1:12" s="40" customFormat="1">
      <c r="A186" s="52"/>
      <c r="F186" s="37"/>
      <c r="G186" s="37"/>
      <c r="H186" s="37"/>
      <c r="I186" s="37"/>
      <c r="J186" s="37"/>
      <c r="K186" s="37"/>
      <c r="L186" s="37"/>
    </row>
    <row r="187" spans="1:12" s="40" customFormat="1">
      <c r="A187" s="52"/>
      <c r="F187" s="37"/>
      <c r="G187" s="37"/>
      <c r="H187" s="37"/>
      <c r="I187" s="37"/>
      <c r="J187" s="37"/>
      <c r="K187" s="37"/>
      <c r="L187" s="37"/>
    </row>
  </sheetData>
  <mergeCells count="16">
    <mergeCell ref="R34:U34"/>
    <mergeCell ref="S41:V41"/>
    <mergeCell ref="A1:J1"/>
    <mergeCell ref="A3:A4"/>
    <mergeCell ref="B3:B4"/>
    <mergeCell ref="C3:C4"/>
    <mergeCell ref="D3:D4"/>
    <mergeCell ref="E3:E4"/>
    <mergeCell ref="F3:F4"/>
    <mergeCell ref="G3:J3"/>
    <mergeCell ref="C37:F37"/>
    <mergeCell ref="H37:J37"/>
    <mergeCell ref="A6:J6"/>
    <mergeCell ref="A16:J16"/>
    <mergeCell ref="C36:F36"/>
    <mergeCell ref="H36:J36"/>
  </mergeCells>
  <phoneticPr fontId="4" type="noConversion"/>
  <pageMargins left="0.98425196850393704" right="0" top="0" bottom="0" header="0.19685039370078741" footer="0.11811023622047245"/>
  <pageSetup paperSize="9" scale="58" fitToHeight="2" orientation="portrait" verticalDpi="300" r:id="rId1"/>
  <headerFooter alignWithMargins="0"/>
  <ignoredErrors>
    <ignoredError sqref="F33 F17 F22:F24 F30 F26"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pageSetUpPr fitToPage="1"/>
  </sheetPr>
  <dimension ref="A1:N90"/>
  <sheetViews>
    <sheetView view="pageBreakPreview" topLeftCell="A79" zoomScaleNormal="100" zoomScaleSheetLayoutView="100" workbookViewId="0">
      <selection activeCell="M10" sqref="M10"/>
    </sheetView>
  </sheetViews>
  <sheetFormatPr defaultColWidth="9.140625" defaultRowHeight="18.75" outlineLevelRow="1"/>
  <cols>
    <col min="1" max="1" width="44.5703125" style="2" customWidth="1"/>
    <col min="2" max="2" width="7.42578125" style="43" customWidth="1"/>
    <col min="3" max="3" width="14.5703125" style="2" customWidth="1"/>
    <col min="4" max="4" width="15.7109375" style="159" customWidth="1"/>
    <col min="5" max="5" width="13.7109375" style="159" customWidth="1"/>
    <col min="6" max="6" width="12.5703125" style="159" customWidth="1"/>
    <col min="7" max="7" width="12.42578125" style="159" customWidth="1"/>
    <col min="8" max="8" width="12.5703125" style="159" customWidth="1"/>
    <col min="9" max="9" width="12.7109375" style="159" customWidth="1"/>
    <col min="10" max="10" width="13.5703125" style="159" customWidth="1"/>
    <col min="11" max="11" width="13.5703125" style="2" hidden="1" customWidth="1"/>
    <col min="12" max="12" width="10.85546875" style="2" customWidth="1"/>
    <col min="13" max="13" width="16" style="2" bestFit="1" customWidth="1"/>
    <col min="14" max="14" width="9.140625" style="2" customWidth="1"/>
    <col min="15" max="16384" width="9.140625" style="2"/>
  </cols>
  <sheetData>
    <row r="1" spans="1:13" ht="32.25" customHeight="1">
      <c r="A1" s="728" t="s">
        <v>110</v>
      </c>
      <c r="B1" s="728"/>
      <c r="C1" s="728"/>
      <c r="D1" s="728"/>
      <c r="E1" s="728"/>
      <c r="F1" s="728"/>
      <c r="G1" s="728"/>
      <c r="H1" s="728"/>
      <c r="I1" s="728"/>
      <c r="J1" s="728"/>
    </row>
    <row r="2" spans="1:13" ht="9" hidden="1" customHeight="1" outlineLevel="1">
      <c r="A2" s="17"/>
      <c r="B2" s="42"/>
      <c r="C2" s="17"/>
      <c r="D2" s="154"/>
      <c r="E2" s="154"/>
      <c r="F2" s="154"/>
      <c r="G2" s="154"/>
      <c r="H2" s="154"/>
      <c r="I2" s="154"/>
      <c r="J2" s="154"/>
    </row>
    <row r="3" spans="1:13" ht="21" customHeight="1" collapsed="1">
      <c r="A3" s="740"/>
      <c r="B3" s="770" t="s">
        <v>257</v>
      </c>
      <c r="C3" s="733" t="s">
        <v>258</v>
      </c>
      <c r="D3" s="771" t="s">
        <v>259</v>
      </c>
      <c r="E3" s="769" t="s">
        <v>113</v>
      </c>
      <c r="F3" s="767" t="s">
        <v>17</v>
      </c>
      <c r="G3" s="768" t="s">
        <v>260</v>
      </c>
      <c r="H3" s="768"/>
      <c r="I3" s="768"/>
      <c r="J3" s="768"/>
    </row>
    <row r="4" spans="1:13" ht="71.25" customHeight="1">
      <c r="A4" s="740"/>
      <c r="B4" s="770"/>
      <c r="C4" s="733"/>
      <c r="D4" s="771"/>
      <c r="E4" s="769"/>
      <c r="F4" s="767"/>
      <c r="G4" s="155" t="s">
        <v>124</v>
      </c>
      <c r="H4" s="155" t="s">
        <v>125</v>
      </c>
      <c r="I4" s="155" t="s">
        <v>126</v>
      </c>
      <c r="J4" s="155" t="s">
        <v>55</v>
      </c>
    </row>
    <row r="5" spans="1:13" ht="26.25" customHeight="1">
      <c r="A5" s="774" t="s">
        <v>402</v>
      </c>
      <c r="B5" s="774"/>
      <c r="C5" s="774"/>
      <c r="D5" s="774"/>
      <c r="E5" s="774"/>
      <c r="F5" s="774"/>
      <c r="G5" s="774"/>
      <c r="H5" s="774"/>
      <c r="I5" s="774"/>
      <c r="J5" s="774"/>
    </row>
    <row r="6" spans="1:13" ht="45" customHeight="1">
      <c r="A6" s="248" t="s">
        <v>288</v>
      </c>
      <c r="B6" s="249" t="s">
        <v>274</v>
      </c>
      <c r="C6" s="250">
        <f>SUM(C7:C8)+C13</f>
        <v>226964.59999999998</v>
      </c>
      <c r="D6" s="251">
        <f>D7+D8+D13</f>
        <v>234013.09999999998</v>
      </c>
      <c r="E6" s="251">
        <f>E7+E8+E13</f>
        <v>220913.5</v>
      </c>
      <c r="F6" s="251">
        <f>SUM(G6:J6)</f>
        <v>223826.53200000001</v>
      </c>
      <c r="G6" s="251">
        <f>SUM(G7:G8)+G13</f>
        <v>73562.823200000013</v>
      </c>
      <c r="H6" s="251">
        <f>SUM(H7:H8)+H13</f>
        <v>50399.764999999999</v>
      </c>
      <c r="I6" s="251">
        <f>SUM(I7:I8)+I13</f>
        <v>49481.203600000001</v>
      </c>
      <c r="J6" s="251">
        <f>SUM(J7:J8)+J13</f>
        <v>50382.7402</v>
      </c>
    </row>
    <row r="7" spans="1:13" ht="62.25" customHeight="1">
      <c r="A7" s="87" t="s">
        <v>544</v>
      </c>
      <c r="B7" s="161" t="s">
        <v>275</v>
      </c>
      <c r="C7" s="202">
        <v>178272.5</v>
      </c>
      <c r="D7" s="202">
        <v>186222.3</v>
      </c>
      <c r="E7" s="202">
        <v>170500</v>
      </c>
      <c r="F7" s="252">
        <f t="shared" ref="F7:F14" si="0">SUM(G7:J7)</f>
        <v>175768.7</v>
      </c>
      <c r="G7" s="303">
        <f>'I. Фін результат'!G8+'I. Фін результат'!G13</f>
        <v>43878.400000000001</v>
      </c>
      <c r="H7" s="303">
        <f>'I. Фін результат'!H8+'I. Фін результат'!H13</f>
        <v>43878.400000000001</v>
      </c>
      <c r="I7" s="303">
        <f>'I. Фін результат'!I8+'I. Фін результат'!I13</f>
        <v>43772.4</v>
      </c>
      <c r="J7" s="303">
        <f>'I. Фін результат'!J8+'I. Фін результат'!J13</f>
        <v>44239.5</v>
      </c>
    </row>
    <row r="8" spans="1:13" ht="32.25" customHeight="1">
      <c r="A8" s="253" t="s">
        <v>396</v>
      </c>
      <c r="B8" s="161" t="s">
        <v>276</v>
      </c>
      <c r="C8" s="202">
        <f>SUM(C9:C10)</f>
        <v>36733.300000000003</v>
      </c>
      <c r="D8" s="202">
        <f>D9+D10</f>
        <v>42790.8</v>
      </c>
      <c r="E8" s="202">
        <f>E9+E10</f>
        <v>42462</v>
      </c>
      <c r="F8" s="255">
        <f>SUM(G8:J8)</f>
        <v>45475.232000000004</v>
      </c>
      <c r="G8" s="289">
        <f>SUM(G9:G11)</f>
        <v>28975.823200000003</v>
      </c>
      <c r="H8" s="289">
        <f t="shared" ref="H8:I8" si="1">SUM(H9:H11)</f>
        <v>5842.165</v>
      </c>
      <c r="I8" s="289">
        <f t="shared" si="1"/>
        <v>5139.6036000000004</v>
      </c>
      <c r="J8" s="289">
        <f>SUM(J9:J11)</f>
        <v>5517.6402000000007</v>
      </c>
    </row>
    <row r="9" spans="1:13" ht="33.75" customHeight="1">
      <c r="A9" s="256" t="s">
        <v>467</v>
      </c>
      <c r="B9" s="162" t="s">
        <v>451</v>
      </c>
      <c r="C9" s="202">
        <v>4041.1</v>
      </c>
      <c r="D9" s="202">
        <v>5572.8</v>
      </c>
      <c r="E9" s="202">
        <v>5384.7</v>
      </c>
      <c r="F9" s="524">
        <f t="shared" si="0"/>
        <v>5907.3842000000004</v>
      </c>
      <c r="G9" s="289">
        <f>'I. Фін результат'!G38</f>
        <v>2116.9398000000001</v>
      </c>
      <c r="H9" s="289">
        <f>'I. Фін результат'!H38</f>
        <v>1363.9946000000002</v>
      </c>
      <c r="I9" s="289">
        <f>'I. Фін результат'!I38</f>
        <v>725.9910000000001</v>
      </c>
      <c r="J9" s="289">
        <f>'I. Фін результат'!J38</f>
        <v>1700.4588000000001</v>
      </c>
      <c r="K9" s="159"/>
    </row>
    <row r="10" spans="1:13" ht="72.75" customHeight="1">
      <c r="A10" s="149" t="s">
        <v>546</v>
      </c>
      <c r="B10" s="162" t="s">
        <v>452</v>
      </c>
      <c r="C10" s="202">
        <v>32692.2</v>
      </c>
      <c r="D10" s="202">
        <v>37218</v>
      </c>
      <c r="E10" s="202">
        <v>37077.300000000003</v>
      </c>
      <c r="F10" s="255">
        <f t="shared" si="0"/>
        <v>39545.747800000005</v>
      </c>
      <c r="G10" s="289">
        <f>'I. Фін результат'!G37</f>
        <v>26848.883400000002</v>
      </c>
      <c r="H10" s="289">
        <f>'I. Фін результат'!H37</f>
        <v>4468.1704</v>
      </c>
      <c r="I10" s="289">
        <f>'I. Фін результат'!I37</f>
        <v>4411.5126</v>
      </c>
      <c r="J10" s="289">
        <f>'I. Фін результат'!J37</f>
        <v>3817.1814000000004</v>
      </c>
      <c r="K10" s="246"/>
    </row>
    <row r="11" spans="1:13" ht="35.25" customHeight="1">
      <c r="A11" s="149" t="s">
        <v>769</v>
      </c>
      <c r="B11" s="162"/>
      <c r="C11" s="202"/>
      <c r="D11" s="202"/>
      <c r="E11" s="202"/>
      <c r="F11" s="255">
        <f t="shared" si="0"/>
        <v>22.1</v>
      </c>
      <c r="G11" s="289">
        <f>'I. Фін результат'!G39</f>
        <v>10</v>
      </c>
      <c r="H11" s="289">
        <f>'I. Фін результат'!H39</f>
        <v>10</v>
      </c>
      <c r="I11" s="289">
        <f>'I. Фін результат'!I39</f>
        <v>2.1</v>
      </c>
      <c r="J11" s="289">
        <f>'I. Фін результат'!J39</f>
        <v>0</v>
      </c>
      <c r="K11" s="246"/>
    </row>
    <row r="12" spans="1:13" ht="42" customHeight="1">
      <c r="A12" s="87" t="s">
        <v>261</v>
      </c>
      <c r="B12" s="161" t="s">
        <v>277</v>
      </c>
      <c r="C12" s="259">
        <v>0</v>
      </c>
      <c r="D12" s="259">
        <v>0</v>
      </c>
      <c r="E12" s="259">
        <v>0</v>
      </c>
      <c r="F12" s="258">
        <f t="shared" si="0"/>
        <v>0</v>
      </c>
      <c r="G12" s="259">
        <v>0</v>
      </c>
      <c r="H12" s="259">
        <v>0</v>
      </c>
      <c r="I12" s="259">
        <v>0</v>
      </c>
      <c r="J12" s="259">
        <v>0</v>
      </c>
      <c r="K12" s="246"/>
    </row>
    <row r="13" spans="1:13" ht="35.25" customHeight="1">
      <c r="A13" s="148" t="s">
        <v>511</v>
      </c>
      <c r="B13" s="161" t="s">
        <v>278</v>
      </c>
      <c r="C13" s="202">
        <v>11958.8</v>
      </c>
      <c r="D13" s="254">
        <v>5000</v>
      </c>
      <c r="E13" s="254">
        <v>7951.5</v>
      </c>
      <c r="F13" s="260">
        <f t="shared" si="0"/>
        <v>2582.6000000000004</v>
      </c>
      <c r="G13" s="289">
        <v>708.6</v>
      </c>
      <c r="H13" s="289">
        <v>679.2</v>
      </c>
      <c r="I13" s="289">
        <v>569.20000000000005</v>
      </c>
      <c r="J13" s="289">
        <v>625.6</v>
      </c>
      <c r="K13" s="247"/>
    </row>
    <row r="14" spans="1:13" ht="40.5" customHeight="1">
      <c r="A14" s="248" t="s">
        <v>287</v>
      </c>
      <c r="B14" s="249" t="s">
        <v>280</v>
      </c>
      <c r="C14" s="633">
        <f>C15+C16+C18+C25</f>
        <v>217703.40000000002</v>
      </c>
      <c r="D14" s="251">
        <f>D15+D16+D17+D18+D25</f>
        <v>230906.8</v>
      </c>
      <c r="E14" s="251">
        <f>E15+E16+E17+E18+E25</f>
        <v>213412.4</v>
      </c>
      <c r="F14" s="251">
        <f t="shared" si="0"/>
        <v>220333.18200000003</v>
      </c>
      <c r="G14" s="251">
        <f>G15+G16+G17+G18+G25</f>
        <v>72612.623200000002</v>
      </c>
      <c r="H14" s="251">
        <f>H15+H16+H17+H18+H25</f>
        <v>50106.564999999995</v>
      </c>
      <c r="I14" s="251">
        <f>I15+I16+I17+I18+I25</f>
        <v>48286.553599999999</v>
      </c>
      <c r="J14" s="251">
        <f>J15+J16+J17+J18+J25</f>
        <v>49327.440200000005</v>
      </c>
      <c r="K14" s="227"/>
    </row>
    <row r="15" spans="1:13" ht="41.25" customHeight="1">
      <c r="A15" s="8" t="s">
        <v>266</v>
      </c>
      <c r="B15" s="161" t="s">
        <v>281</v>
      </c>
      <c r="C15" s="634">
        <v>11649.3</v>
      </c>
      <c r="D15" s="254">
        <v>12887</v>
      </c>
      <c r="E15" s="254">
        <v>12887</v>
      </c>
      <c r="F15" s="255">
        <f t="shared" ref="F15:F24" si="2">SUM(G15:J15)</f>
        <v>12887</v>
      </c>
      <c r="G15" s="289">
        <v>3500</v>
      </c>
      <c r="H15" s="289">
        <f>3400-13</f>
        <v>3387</v>
      </c>
      <c r="I15" s="289">
        <v>2500</v>
      </c>
      <c r="J15" s="289">
        <v>3500</v>
      </c>
      <c r="K15" s="159"/>
      <c r="M15" s="159"/>
    </row>
    <row r="16" spans="1:13" ht="32.25" customHeight="1">
      <c r="A16" s="8" t="s">
        <v>267</v>
      </c>
      <c r="B16" s="161" t="s">
        <v>282</v>
      </c>
      <c r="C16" s="634">
        <v>112407.7</v>
      </c>
      <c r="D16" s="254">
        <v>110566.5</v>
      </c>
      <c r="E16" s="254">
        <v>100047.9</v>
      </c>
      <c r="F16" s="255">
        <f t="shared" si="2"/>
        <v>102157.2705</v>
      </c>
      <c r="G16" s="289">
        <f>'I. Фін результат'!G125-'ІІІ. Рух грош. коштів'!G19-'ІІІ. Рух грош. коштів'!G20</f>
        <v>25307.590000000004</v>
      </c>
      <c r="H16" s="289">
        <f>'I. Фін результат'!H125-'ІІІ. Рух грош. коштів'!H19-'ІІІ. Рух грош. коштів'!H20</f>
        <v>25796.154999999995</v>
      </c>
      <c r="I16" s="289">
        <f>'I. Фін результат'!I125-'ІІІ. Рух грош. коштів'!I19-'ІІІ. Рух грош. коштів'!I20+0.1</f>
        <v>25637.134499999996</v>
      </c>
      <c r="J16" s="289">
        <f>'I. Фін результат'!J125-'ІІІ. Рух грош. коштів'!J19-'ІІІ. Рух грош. коштів'!J20</f>
        <v>25416.391000000003</v>
      </c>
      <c r="K16" s="159"/>
    </row>
    <row r="17" spans="1:11" ht="39.75" customHeight="1">
      <c r="A17" s="8" t="s">
        <v>268</v>
      </c>
      <c r="B17" s="161" t="s">
        <v>283</v>
      </c>
      <c r="C17" s="634"/>
      <c r="D17" s="259">
        <v>0</v>
      </c>
      <c r="E17" s="259">
        <v>0</v>
      </c>
      <c r="F17" s="261">
        <v>0</v>
      </c>
      <c r="G17" s="290">
        <v>0</v>
      </c>
      <c r="H17" s="290">
        <v>0</v>
      </c>
      <c r="I17" s="290">
        <v>0</v>
      </c>
      <c r="J17" s="290">
        <v>0</v>
      </c>
      <c r="K17" s="160"/>
    </row>
    <row r="18" spans="1:11" ht="27.75" customHeight="1">
      <c r="A18" s="8" t="s">
        <v>480</v>
      </c>
      <c r="B18" s="161" t="s">
        <v>284</v>
      </c>
      <c r="C18" s="635">
        <f>(C19+C20+C21+C22+C23+C24)</f>
        <v>55165.7</v>
      </c>
      <c r="D18" s="257">
        <f>D19+D20+D21+D22+D23+D24</f>
        <v>62645.9</v>
      </c>
      <c r="E18" s="257">
        <f>(E19+E20+E21+E22+E24+E23)</f>
        <v>55998.899999999994</v>
      </c>
      <c r="F18" s="255">
        <f t="shared" si="2"/>
        <v>57819.179499999998</v>
      </c>
      <c r="G18" s="291">
        <f>G19+G20+G21+G22+G23+G24</f>
        <v>14335.11</v>
      </c>
      <c r="H18" s="291">
        <f>H19+H20+H21+H22+H23+H24</f>
        <v>14587.144999999999</v>
      </c>
      <c r="I18" s="291">
        <f>I19+I20+I21+I22+I23+I24</f>
        <v>14507.715500000002</v>
      </c>
      <c r="J18" s="291">
        <f>J19+J20+J21+J22+J23+J24</f>
        <v>14389.209000000001</v>
      </c>
    </row>
    <row r="19" spans="1:11" ht="27.75" customHeight="1">
      <c r="A19" s="102" t="s">
        <v>64</v>
      </c>
      <c r="B19" s="162" t="s">
        <v>453</v>
      </c>
      <c r="C19" s="636">
        <v>24830.1</v>
      </c>
      <c r="D19" s="257">
        <v>25846.7</v>
      </c>
      <c r="E19" s="257">
        <v>23387.8</v>
      </c>
      <c r="F19" s="255">
        <f t="shared" si="2"/>
        <v>23880.896999999997</v>
      </c>
      <c r="G19" s="292">
        <f>'I. Фін результат'!G125*0.18</f>
        <v>5916.0599999999995</v>
      </c>
      <c r="H19" s="292">
        <f>'I. Фін результат'!H125*0.18</f>
        <v>6030.2699999999986</v>
      </c>
      <c r="I19" s="292">
        <f>'I. Фін результат'!I125*0.18</f>
        <v>5993.0729999999994</v>
      </c>
      <c r="J19" s="292">
        <f>'I. Фін результат'!J125*0.18</f>
        <v>5941.4940000000006</v>
      </c>
    </row>
    <row r="20" spans="1:11" ht="27.75" customHeight="1">
      <c r="A20" s="102" t="s">
        <v>449</v>
      </c>
      <c r="B20" s="162" t="s">
        <v>454</v>
      </c>
      <c r="C20" s="636">
        <v>2409.5</v>
      </c>
      <c r="D20" s="257">
        <v>7179.6</v>
      </c>
      <c r="E20" s="257">
        <v>6496.6</v>
      </c>
      <c r="F20" s="255">
        <f t="shared" si="2"/>
        <v>6633.5825000000004</v>
      </c>
      <c r="G20" s="292">
        <f>'I. Фін результат'!G125*0.05</f>
        <v>1643.3500000000001</v>
      </c>
      <c r="H20" s="292">
        <f>'I. Фін результат'!H125*0.05</f>
        <v>1675.0749999999998</v>
      </c>
      <c r="I20" s="292">
        <f>'I. Фін результат'!I125*0.05</f>
        <v>1664.7425000000001</v>
      </c>
      <c r="J20" s="292">
        <f>'I. Фін результат'!J125*0.05</f>
        <v>1650.4150000000002</v>
      </c>
    </row>
    <row r="21" spans="1:11" ht="45" customHeight="1">
      <c r="A21" s="102" t="s">
        <v>65</v>
      </c>
      <c r="B21" s="162" t="s">
        <v>455</v>
      </c>
      <c r="C21" s="636">
        <v>27866.1</v>
      </c>
      <c r="D21" s="257">
        <v>29565.5</v>
      </c>
      <c r="E21" s="257">
        <v>26077.8</v>
      </c>
      <c r="F21" s="255">
        <f t="shared" si="2"/>
        <v>27276.100000000002</v>
      </c>
      <c r="G21" s="292">
        <f>-('I. Фін результат'!G19+'I. Фін результат'!G53)</f>
        <v>6764</v>
      </c>
      <c r="H21" s="292">
        <f>-('I. Фін результат'!H19+'I. Фін результат'!H53)</f>
        <v>6870.2000000000007</v>
      </c>
      <c r="I21" s="292">
        <f>-('I. Фін результат'!I19+'I. Фін результат'!I53)</f>
        <v>6846.2000000000007</v>
      </c>
      <c r="J21" s="292">
        <f>-('I. Фін результат'!J19+'I. Фін результат'!J53)</f>
        <v>6795.7000000000007</v>
      </c>
    </row>
    <row r="22" spans="1:11" ht="27.75" customHeight="1">
      <c r="A22" s="102" t="s">
        <v>513</v>
      </c>
      <c r="B22" s="162" t="s">
        <v>512</v>
      </c>
      <c r="C22" s="636">
        <v>0</v>
      </c>
      <c r="D22" s="257">
        <v>4</v>
      </c>
      <c r="E22" s="257">
        <v>6.5</v>
      </c>
      <c r="F22" s="255">
        <f t="shared" si="2"/>
        <v>6.5</v>
      </c>
      <c r="G22" s="292">
        <v>1.7</v>
      </c>
      <c r="H22" s="292">
        <v>1.6</v>
      </c>
      <c r="I22" s="292">
        <v>1.6</v>
      </c>
      <c r="J22" s="292">
        <v>1.6</v>
      </c>
    </row>
    <row r="23" spans="1:11" s="311" customFormat="1" ht="27.75" customHeight="1">
      <c r="A23" s="102" t="s">
        <v>772</v>
      </c>
      <c r="B23" s="162" t="s">
        <v>536</v>
      </c>
      <c r="C23" s="636">
        <v>5.2</v>
      </c>
      <c r="D23" s="257">
        <v>50.1</v>
      </c>
      <c r="E23" s="257">
        <v>30.2</v>
      </c>
      <c r="F23" s="255">
        <f t="shared" si="2"/>
        <v>22.1</v>
      </c>
      <c r="G23" s="292">
        <f>-('I. Фін результат'!G32+'I. Фін результат'!G71+'I. Фін результат'!G90)</f>
        <v>10</v>
      </c>
      <c r="H23" s="292">
        <f>-('I. Фін результат'!H32+'I. Фін результат'!H71+'I. Фін результат'!H90)</f>
        <v>10</v>
      </c>
      <c r="I23" s="292">
        <f>-('I. Фін результат'!I32+'I. Фін результат'!I71+'I. Фін результат'!I90)</f>
        <v>2.1</v>
      </c>
      <c r="J23" s="292">
        <f>-('I. Фін результат'!J32+'I. Фін результат'!J71+'I. Фін результат'!J90)</f>
        <v>0</v>
      </c>
    </row>
    <row r="24" spans="1:11" ht="27.75" customHeight="1">
      <c r="A24" s="102" t="s">
        <v>598</v>
      </c>
      <c r="B24" s="162" t="s">
        <v>599</v>
      </c>
      <c r="C24" s="636">
        <v>54.8</v>
      </c>
      <c r="D24" s="257">
        <v>0</v>
      </c>
      <c r="E24" s="257">
        <v>0</v>
      </c>
      <c r="F24" s="255">
        <f t="shared" si="2"/>
        <v>0</v>
      </c>
      <c r="G24" s="292"/>
      <c r="H24" s="292"/>
      <c r="I24" s="292"/>
      <c r="J24" s="292"/>
    </row>
    <row r="25" spans="1:11" ht="28.5" customHeight="1">
      <c r="A25" s="8" t="s">
        <v>305</v>
      </c>
      <c r="B25" s="161" t="s">
        <v>285</v>
      </c>
      <c r="C25" s="257">
        <f>(C26+C27+C28)</f>
        <v>38480.699999999997</v>
      </c>
      <c r="D25" s="257">
        <f>D26+D27+D28</f>
        <v>44807.4</v>
      </c>
      <c r="E25" s="257">
        <f>(E26+E27+E28)</f>
        <v>44478.6</v>
      </c>
      <c r="F25" s="255">
        <f>SUM(G25:J25)</f>
        <v>47469.732000000004</v>
      </c>
      <c r="G25" s="291">
        <f>SUM(G26:G28)</f>
        <v>29469.923200000001</v>
      </c>
      <c r="H25" s="291">
        <f>SUM(H26:H28)</f>
        <v>6336.2650000000003</v>
      </c>
      <c r="I25" s="291">
        <f>SUM(I26:I28)</f>
        <v>5641.7035999999998</v>
      </c>
      <c r="J25" s="291">
        <f>SUM(J26:J28)</f>
        <v>6021.8402000000006</v>
      </c>
    </row>
    <row r="26" spans="1:11" ht="54.75" customHeight="1">
      <c r="A26" s="87" t="s">
        <v>516</v>
      </c>
      <c r="B26" s="162" t="s">
        <v>495</v>
      </c>
      <c r="C26" s="636">
        <v>32692.2</v>
      </c>
      <c r="D26" s="257">
        <v>37218</v>
      </c>
      <c r="E26" s="257">
        <v>37077.300000000003</v>
      </c>
      <c r="F26" s="255">
        <f>SUM(G26:J26)</f>
        <v>39545.747800000005</v>
      </c>
      <c r="G26" s="289">
        <f>G10</f>
        <v>26848.883400000002</v>
      </c>
      <c r="H26" s="289">
        <f>H10</f>
        <v>4468.1704</v>
      </c>
      <c r="I26" s="289">
        <f>I10</f>
        <v>4411.5126</v>
      </c>
      <c r="J26" s="289">
        <f>J10</f>
        <v>3817.1814000000004</v>
      </c>
    </row>
    <row r="27" spans="1:11" ht="34.5" customHeight="1">
      <c r="A27" s="256" t="s">
        <v>602</v>
      </c>
      <c r="B27" s="162" t="s">
        <v>527</v>
      </c>
      <c r="C27" s="636">
        <v>4041.4</v>
      </c>
      <c r="D27" s="257">
        <v>5572.8</v>
      </c>
      <c r="E27" s="257">
        <v>5384.7</v>
      </c>
      <c r="F27" s="525">
        <f>SUM(G27:J27)</f>
        <v>5907.3842000000004</v>
      </c>
      <c r="G27" s="259">
        <f>G9</f>
        <v>2116.9398000000001</v>
      </c>
      <c r="H27" s="259">
        <f>H9</f>
        <v>1363.9946000000002</v>
      </c>
      <c r="I27" s="259">
        <f>I9</f>
        <v>725.9910000000001</v>
      </c>
      <c r="J27" s="259">
        <f>J9</f>
        <v>1700.4588000000001</v>
      </c>
    </row>
    <row r="28" spans="1:11" ht="45" customHeight="1">
      <c r="A28" s="168" t="s">
        <v>540</v>
      </c>
      <c r="B28" s="162" t="s">
        <v>733</v>
      </c>
      <c r="C28" s="636">
        <v>1747.1</v>
      </c>
      <c r="D28" s="257">
        <v>2016.6</v>
      </c>
      <c r="E28" s="257">
        <v>2016.6</v>
      </c>
      <c r="F28" s="255">
        <f>SUM(G28:J28)</f>
        <v>2016.6000000000001</v>
      </c>
      <c r="G28" s="290">
        <v>504.1</v>
      </c>
      <c r="H28" s="290">
        <v>504.1</v>
      </c>
      <c r="I28" s="290">
        <v>504.2</v>
      </c>
      <c r="J28" s="290">
        <v>504.2</v>
      </c>
    </row>
    <row r="29" spans="1:11" ht="46.5" customHeight="1">
      <c r="A29" s="132" t="s">
        <v>279</v>
      </c>
      <c r="B29" s="262" t="s">
        <v>286</v>
      </c>
      <c r="C29" s="263">
        <f>C6-C14</f>
        <v>9261.1999999999534</v>
      </c>
      <c r="D29" s="263">
        <f>D6-D14</f>
        <v>3106.2999999999884</v>
      </c>
      <c r="E29" s="263">
        <f>E6-E14</f>
        <v>7501.1000000000058</v>
      </c>
      <c r="F29" s="251">
        <f>SUM(G29:J29)</f>
        <v>3493.3500000000131</v>
      </c>
      <c r="G29" s="264">
        <f>G6-G14</f>
        <v>950.20000000001164</v>
      </c>
      <c r="H29" s="264">
        <f>H6-H14</f>
        <v>293.20000000000437</v>
      </c>
      <c r="I29" s="264">
        <f>I6-I14</f>
        <v>1194.6500000000015</v>
      </c>
      <c r="J29" s="264">
        <f>J6-J14</f>
        <v>1055.2999999999956</v>
      </c>
    </row>
    <row r="30" spans="1:11" ht="27.75" customHeight="1">
      <c r="A30" s="774" t="s">
        <v>403</v>
      </c>
      <c r="B30" s="774"/>
      <c r="C30" s="774"/>
      <c r="D30" s="774"/>
      <c r="E30" s="774"/>
      <c r="F30" s="774"/>
      <c r="G30" s="774"/>
      <c r="H30" s="774"/>
      <c r="I30" s="774"/>
      <c r="J30" s="774"/>
    </row>
    <row r="31" spans="1:11" ht="42.75" customHeight="1">
      <c r="A31" s="248" t="s">
        <v>262</v>
      </c>
      <c r="B31" s="249" t="s">
        <v>289</v>
      </c>
      <c r="C31" s="250">
        <f>SUM(C32:C38)</f>
        <v>0</v>
      </c>
      <c r="D31" s="250">
        <f t="shared" ref="D31:J31" si="3">SUM(D32:D38)</f>
        <v>0</v>
      </c>
      <c r="E31" s="250">
        <f t="shared" si="3"/>
        <v>0</v>
      </c>
      <c r="F31" s="250">
        <f t="shared" si="3"/>
        <v>0</v>
      </c>
      <c r="G31" s="250">
        <f t="shared" si="3"/>
        <v>0</v>
      </c>
      <c r="H31" s="250">
        <f t="shared" si="3"/>
        <v>0</v>
      </c>
      <c r="I31" s="250">
        <f t="shared" si="3"/>
        <v>0</v>
      </c>
      <c r="J31" s="250">
        <f t="shared" si="3"/>
        <v>0</v>
      </c>
    </row>
    <row r="32" spans="1:11" ht="35.25" customHeight="1">
      <c r="A32" s="8" t="s">
        <v>24</v>
      </c>
      <c r="B32" s="161" t="s">
        <v>290</v>
      </c>
      <c r="C32" s="265">
        <v>0</v>
      </c>
      <c r="D32" s="265">
        <v>0</v>
      </c>
      <c r="E32" s="265">
        <v>0</v>
      </c>
      <c r="F32" s="258">
        <v>0</v>
      </c>
      <c r="G32" s="265">
        <v>0</v>
      </c>
      <c r="H32" s="265">
        <v>0</v>
      </c>
      <c r="I32" s="265">
        <v>0</v>
      </c>
      <c r="J32" s="265">
        <v>0</v>
      </c>
    </row>
    <row r="33" spans="1:10" ht="42" customHeight="1">
      <c r="A33" s="8" t="s">
        <v>263</v>
      </c>
      <c r="B33" s="161" t="s">
        <v>291</v>
      </c>
      <c r="C33" s="265">
        <v>0</v>
      </c>
      <c r="D33" s="265">
        <v>0</v>
      </c>
      <c r="E33" s="265">
        <v>0</v>
      </c>
      <c r="F33" s="258">
        <v>0</v>
      </c>
      <c r="G33" s="265">
        <v>0</v>
      </c>
      <c r="H33" s="265">
        <v>0</v>
      </c>
      <c r="I33" s="265">
        <v>0</v>
      </c>
      <c r="J33" s="265">
        <v>0</v>
      </c>
    </row>
    <row r="34" spans="1:10" ht="40.5" customHeight="1">
      <c r="A34" s="8" t="s">
        <v>264</v>
      </c>
      <c r="B34" s="161" t="s">
        <v>292</v>
      </c>
      <c r="C34" s="265">
        <v>0</v>
      </c>
      <c r="D34" s="265">
        <v>0</v>
      </c>
      <c r="E34" s="265">
        <v>0</v>
      </c>
      <c r="F34" s="258">
        <v>0</v>
      </c>
      <c r="G34" s="265">
        <v>0</v>
      </c>
      <c r="H34" s="265">
        <v>0</v>
      </c>
      <c r="I34" s="265">
        <v>0</v>
      </c>
      <c r="J34" s="265">
        <v>0</v>
      </c>
    </row>
    <row r="35" spans="1:10" ht="22.5" customHeight="1">
      <c r="A35" s="8" t="s">
        <v>405</v>
      </c>
      <c r="B35" s="161"/>
      <c r="C35" s="265">
        <v>0</v>
      </c>
      <c r="D35" s="265">
        <v>0</v>
      </c>
      <c r="E35" s="265">
        <v>0</v>
      </c>
      <c r="F35" s="258">
        <v>0</v>
      </c>
      <c r="G35" s="265">
        <v>0</v>
      </c>
      <c r="H35" s="265">
        <v>0</v>
      </c>
      <c r="I35" s="265">
        <v>0</v>
      </c>
      <c r="J35" s="265">
        <v>0</v>
      </c>
    </row>
    <row r="36" spans="1:10" ht="33" customHeight="1">
      <c r="A36" s="8" t="s">
        <v>406</v>
      </c>
      <c r="B36" s="161" t="s">
        <v>293</v>
      </c>
      <c r="C36" s="265">
        <v>0</v>
      </c>
      <c r="D36" s="265">
        <v>0</v>
      </c>
      <c r="E36" s="265">
        <v>0</v>
      </c>
      <c r="F36" s="258">
        <v>0</v>
      </c>
      <c r="G36" s="265">
        <v>0</v>
      </c>
      <c r="H36" s="265">
        <v>0</v>
      </c>
      <c r="I36" s="265">
        <v>0</v>
      </c>
      <c r="J36" s="265">
        <v>0</v>
      </c>
    </row>
    <row r="37" spans="1:10" ht="25.5" customHeight="1">
      <c r="A37" s="8" t="s">
        <v>407</v>
      </c>
      <c r="B37" s="161" t="s">
        <v>298</v>
      </c>
      <c r="C37" s="265">
        <v>0</v>
      </c>
      <c r="D37" s="265">
        <v>0</v>
      </c>
      <c r="E37" s="265">
        <v>0</v>
      </c>
      <c r="F37" s="258">
        <v>0</v>
      </c>
      <c r="G37" s="265">
        <v>0</v>
      </c>
      <c r="H37" s="265">
        <v>0</v>
      </c>
      <c r="I37" s="265">
        <v>0</v>
      </c>
      <c r="J37" s="265">
        <v>0</v>
      </c>
    </row>
    <row r="38" spans="1:10" ht="24.75" customHeight="1">
      <c r="A38" s="8" t="s">
        <v>306</v>
      </c>
      <c r="B38" s="161" t="s">
        <v>299</v>
      </c>
      <c r="C38" s="233">
        <v>0</v>
      </c>
      <c r="D38" s="233">
        <v>0</v>
      </c>
      <c r="E38" s="233">
        <v>0</v>
      </c>
      <c r="F38" s="258">
        <v>0</v>
      </c>
      <c r="G38" s="233">
        <v>0</v>
      </c>
      <c r="H38" s="233">
        <v>0</v>
      </c>
      <c r="I38" s="233">
        <v>0</v>
      </c>
      <c r="J38" s="233">
        <v>0</v>
      </c>
    </row>
    <row r="39" spans="1:10" ht="23.25" customHeight="1">
      <c r="A39" s="148" t="s">
        <v>294</v>
      </c>
      <c r="B39" s="161"/>
      <c r="C39" s="233">
        <v>0</v>
      </c>
      <c r="D39" s="233">
        <v>0</v>
      </c>
      <c r="E39" s="233">
        <v>0</v>
      </c>
      <c r="F39" s="258">
        <v>0</v>
      </c>
      <c r="G39" s="233">
        <v>0</v>
      </c>
      <c r="H39" s="233">
        <v>0</v>
      </c>
      <c r="I39" s="233">
        <v>0</v>
      </c>
      <c r="J39" s="233">
        <v>0</v>
      </c>
    </row>
    <row r="40" spans="1:10" ht="51.75" customHeight="1">
      <c r="A40" s="97" t="s">
        <v>295</v>
      </c>
      <c r="B40" s="162" t="s">
        <v>408</v>
      </c>
      <c r="C40" s="234">
        <v>0</v>
      </c>
      <c r="D40" s="234">
        <v>0</v>
      </c>
      <c r="E40" s="234">
        <v>0</v>
      </c>
      <c r="F40" s="235">
        <v>0</v>
      </c>
      <c r="G40" s="234">
        <v>0</v>
      </c>
      <c r="H40" s="234">
        <v>0</v>
      </c>
      <c r="I40" s="234">
        <v>0</v>
      </c>
      <c r="J40" s="234">
        <v>0</v>
      </c>
    </row>
    <row r="41" spans="1:10" ht="39" customHeight="1">
      <c r="A41" s="97" t="s">
        <v>296</v>
      </c>
      <c r="B41" s="162" t="s">
        <v>409</v>
      </c>
      <c r="C41" s="234">
        <v>0</v>
      </c>
      <c r="D41" s="234">
        <v>0</v>
      </c>
      <c r="E41" s="234">
        <v>0</v>
      </c>
      <c r="F41" s="235">
        <v>0</v>
      </c>
      <c r="G41" s="234">
        <v>0</v>
      </c>
      <c r="H41" s="234">
        <v>0</v>
      </c>
      <c r="I41" s="234">
        <v>0</v>
      </c>
      <c r="J41" s="234">
        <v>0</v>
      </c>
    </row>
    <row r="42" spans="1:10" ht="36" customHeight="1">
      <c r="A42" s="248" t="s">
        <v>269</v>
      </c>
      <c r="B42" s="249" t="s">
        <v>300</v>
      </c>
      <c r="C42" s="266">
        <f t="shared" ref="C42:J42" si="4">C43+C46+C47+C49</f>
        <v>16708.8</v>
      </c>
      <c r="D42" s="266">
        <f t="shared" si="4"/>
        <v>28815.8</v>
      </c>
      <c r="E42" s="266">
        <f>E43+E46+E47+E49</f>
        <v>23451.7</v>
      </c>
      <c r="F42" s="266">
        <f t="shared" si="4"/>
        <v>10275.5</v>
      </c>
      <c r="G42" s="250">
        <f>G43+G46+G47+G49</f>
        <v>2425.5</v>
      </c>
      <c r="H42" s="250">
        <f>H43+H46+H47+H49</f>
        <v>4563.8</v>
      </c>
      <c r="I42" s="250">
        <f t="shared" si="4"/>
        <v>3286.2</v>
      </c>
      <c r="J42" s="250">
        <f t="shared" si="4"/>
        <v>0</v>
      </c>
    </row>
    <row r="43" spans="1:10" ht="75" customHeight="1">
      <c r="A43" s="8" t="s">
        <v>304</v>
      </c>
      <c r="B43" s="161" t="s">
        <v>301</v>
      </c>
      <c r="C43" s="265">
        <f>C44+C45</f>
        <v>14502.5</v>
      </c>
      <c r="D43" s="265">
        <f>D44+D45</f>
        <v>26469.599999999999</v>
      </c>
      <c r="E43" s="265">
        <f>E44+E45</f>
        <v>20526.2</v>
      </c>
      <c r="F43" s="258">
        <f t="shared" ref="F43:F53" si="5">SUM(G43:J43)</f>
        <v>8350</v>
      </c>
      <c r="G43" s="265">
        <f>G44+G45</f>
        <v>2250</v>
      </c>
      <c r="H43" s="265">
        <f>H44+H45</f>
        <v>3813.8</v>
      </c>
      <c r="I43" s="265">
        <f>I44+I45</f>
        <v>2286.1999999999998</v>
      </c>
      <c r="J43" s="265">
        <f>J44+J45</f>
        <v>0</v>
      </c>
    </row>
    <row r="44" spans="1:10" ht="64.5" customHeight="1">
      <c r="A44" s="8" t="str">
        <f>'IV. Кап. інвестиції'!A15</f>
        <v xml:space="preserve">модернізація, модифікація (добудова, дообладнання, реконструкція) основних засобів  </v>
      </c>
      <c r="B44" s="161" t="s">
        <v>472</v>
      </c>
      <c r="C44" s="202">
        <v>9293.2000000000007</v>
      </c>
      <c r="D44" s="202">
        <v>21019.599999999999</v>
      </c>
      <c r="E44" s="202">
        <v>19176.2</v>
      </c>
      <c r="F44" s="260">
        <f>SUM(G44:J44)</f>
        <v>7000</v>
      </c>
      <c r="G44" s="287">
        <f>'IV. Кап. інвестиції'!G15</f>
        <v>1400</v>
      </c>
      <c r="H44" s="287">
        <f>'IV. Кап. інвестиції'!H15</f>
        <v>3313.8</v>
      </c>
      <c r="I44" s="287">
        <f>'IV. Кап. інвестиції'!I15</f>
        <v>2286.1999999999998</v>
      </c>
      <c r="J44" s="287">
        <f>'IV. Кап. інвестиції'!J15</f>
        <v>0</v>
      </c>
    </row>
    <row r="45" spans="1:10" ht="38.25" customHeight="1">
      <c r="A45" s="8" t="s">
        <v>529</v>
      </c>
      <c r="B45" s="161" t="s">
        <v>473</v>
      </c>
      <c r="C45" s="202">
        <v>5209.3</v>
      </c>
      <c r="D45" s="202">
        <v>5450</v>
      </c>
      <c r="E45" s="202">
        <v>1350</v>
      </c>
      <c r="F45" s="286">
        <f t="shared" si="5"/>
        <v>1350</v>
      </c>
      <c r="G45" s="288">
        <f>'IV. Кап. інвестиції'!G8</f>
        <v>850</v>
      </c>
      <c r="H45" s="288">
        <f>'IV. Кап. інвестиції'!H8</f>
        <v>500</v>
      </c>
      <c r="I45" s="288">
        <f>'IV. Кап. інвестиції'!I8</f>
        <v>0</v>
      </c>
      <c r="J45" s="287">
        <f>'IV. Кап. інвестиції'!J8</f>
        <v>0</v>
      </c>
    </row>
    <row r="46" spans="1:10" ht="55.5" customHeight="1">
      <c r="A46" s="8" t="s">
        <v>515</v>
      </c>
      <c r="B46" s="161" t="s">
        <v>302</v>
      </c>
      <c r="C46" s="265"/>
      <c r="D46" s="202"/>
      <c r="E46" s="202"/>
      <c r="F46" s="258">
        <f t="shared" si="5"/>
        <v>0</v>
      </c>
      <c r="G46" s="287">
        <f>'IV. Кап. інвестиції'!G7</f>
        <v>0</v>
      </c>
      <c r="H46" s="287">
        <f>'IV. Кап. інвестиції'!H7</f>
        <v>0</v>
      </c>
      <c r="I46" s="287">
        <f>'IV. Кап. інвестиції'!I7</f>
        <v>0</v>
      </c>
      <c r="J46" s="287">
        <f>'IV. Кап. інвестиції'!J7</f>
        <v>0</v>
      </c>
    </row>
    <row r="47" spans="1:10" ht="39" customHeight="1">
      <c r="A47" s="221" t="str">
        <f>'IV. Кап. інвестиції'!A14</f>
        <v xml:space="preserve">придбання (створення) нематеріальних активів  </v>
      </c>
      <c r="B47" s="161" t="s">
        <v>303</v>
      </c>
      <c r="C47" s="202">
        <v>15</v>
      </c>
      <c r="D47" s="265">
        <v>0</v>
      </c>
      <c r="E47" s="265">
        <v>0</v>
      </c>
      <c r="F47" s="260">
        <f t="shared" si="5"/>
        <v>0</v>
      </c>
      <c r="G47" s="202">
        <f>'IV. Кап. інвестиції'!G14</f>
        <v>0</v>
      </c>
      <c r="H47" s="265">
        <f>'IV. Кап. інвестиції'!H14</f>
        <v>0</v>
      </c>
      <c r="I47" s="265">
        <f>'IV. Кап. інвестиції'!I14</f>
        <v>0</v>
      </c>
      <c r="J47" s="265">
        <v>0</v>
      </c>
    </row>
    <row r="48" spans="1:10" ht="27" customHeight="1">
      <c r="A48" s="8" t="s">
        <v>297</v>
      </c>
      <c r="B48" s="161" t="s">
        <v>307</v>
      </c>
      <c r="C48" s="265">
        <v>0</v>
      </c>
      <c r="D48" s="265">
        <v>0</v>
      </c>
      <c r="E48" s="265">
        <v>0</v>
      </c>
      <c r="F48" s="258">
        <f t="shared" si="5"/>
        <v>0</v>
      </c>
      <c r="G48" s="265">
        <v>0</v>
      </c>
      <c r="H48" s="265">
        <v>0</v>
      </c>
      <c r="I48" s="265">
        <v>0</v>
      </c>
      <c r="J48" s="265">
        <v>0</v>
      </c>
    </row>
    <row r="49" spans="1:13" ht="24.75" customHeight="1">
      <c r="A49" s="8" t="s">
        <v>305</v>
      </c>
      <c r="B49" s="161" t="s">
        <v>410</v>
      </c>
      <c r="C49" s="267">
        <f>C51+C52</f>
        <v>2191.3000000000002</v>
      </c>
      <c r="D49" s="267">
        <f>SUM(D51:D52)</f>
        <v>2346.1999999999998</v>
      </c>
      <c r="E49" s="267">
        <f>SUM(E51:E52)</f>
        <v>2925.5</v>
      </c>
      <c r="F49" s="260">
        <f>SUM(G49:J49)</f>
        <v>1925.5</v>
      </c>
      <c r="G49" s="268">
        <f>SUM(G51:G52)</f>
        <v>175.5</v>
      </c>
      <c r="H49" s="268">
        <f>SUM(H51:H52)</f>
        <v>750</v>
      </c>
      <c r="I49" s="233">
        <f>SUM(I51:I52)</f>
        <v>1000</v>
      </c>
      <c r="J49" s="233">
        <f>SUM(J51:J52)</f>
        <v>0</v>
      </c>
    </row>
    <row r="50" spans="1:13" ht="16.5" customHeight="1">
      <c r="A50" s="127" t="s">
        <v>229</v>
      </c>
      <c r="B50" s="161"/>
      <c r="C50" s="268"/>
      <c r="D50" s="268"/>
      <c r="E50" s="268"/>
      <c r="F50" s="269"/>
      <c r="G50" s="268"/>
      <c r="H50" s="268"/>
      <c r="I50" s="268"/>
      <c r="J50" s="233"/>
    </row>
    <row r="51" spans="1:13" ht="33" customHeight="1">
      <c r="A51" s="97" t="s">
        <v>414</v>
      </c>
      <c r="B51" s="162" t="s">
        <v>411</v>
      </c>
      <c r="C51" s="234">
        <v>0</v>
      </c>
      <c r="D51" s="234">
        <v>0</v>
      </c>
      <c r="E51" s="234">
        <v>0</v>
      </c>
      <c r="F51" s="235">
        <f t="shared" si="5"/>
        <v>0</v>
      </c>
      <c r="G51" s="234">
        <v>0</v>
      </c>
      <c r="H51" s="234">
        <v>0</v>
      </c>
      <c r="I51" s="234">
        <v>0</v>
      </c>
      <c r="J51" s="234">
        <v>0</v>
      </c>
    </row>
    <row r="52" spans="1:13" ht="52.5" customHeight="1">
      <c r="A52" s="97" t="s">
        <v>528</v>
      </c>
      <c r="B52" s="162" t="s">
        <v>412</v>
      </c>
      <c r="C52" s="637">
        <v>2191.3000000000002</v>
      </c>
      <c r="D52" s="234">
        <v>2346.1999999999998</v>
      </c>
      <c r="E52" s="234">
        <v>2925.5</v>
      </c>
      <c r="F52" s="201">
        <f>SUM(G52:J52)</f>
        <v>1925.5</v>
      </c>
      <c r="G52" s="200">
        <f>'IV. Кап. інвестиції'!G11</f>
        <v>175.5</v>
      </c>
      <c r="H52" s="200">
        <f>'IV. Кап. інвестиції'!H11</f>
        <v>750</v>
      </c>
      <c r="I52" s="200">
        <f>'IV. Кап. інвестиції'!I11+300-300</f>
        <v>1000</v>
      </c>
      <c r="J52" s="200">
        <f>'IV. Кап. інвестиції'!J11+300-300</f>
        <v>0</v>
      </c>
    </row>
    <row r="53" spans="1:13" ht="40.5" customHeight="1">
      <c r="A53" s="132" t="s">
        <v>308</v>
      </c>
      <c r="B53" s="262" t="s">
        <v>413</v>
      </c>
      <c r="C53" s="270">
        <f>C31-C42</f>
        <v>-16708.8</v>
      </c>
      <c r="D53" s="270">
        <f>D31-D42</f>
        <v>-28815.8</v>
      </c>
      <c r="E53" s="270">
        <f t="shared" ref="E53:J53" si="6">E31-E42</f>
        <v>-23451.7</v>
      </c>
      <c r="F53" s="237">
        <f t="shared" si="5"/>
        <v>-10275.5</v>
      </c>
      <c r="G53" s="270">
        <f t="shared" si="6"/>
        <v>-2425.5</v>
      </c>
      <c r="H53" s="270">
        <f t="shared" si="6"/>
        <v>-4563.8</v>
      </c>
      <c r="I53" s="270">
        <f t="shared" si="6"/>
        <v>-3286.2</v>
      </c>
      <c r="J53" s="293">
        <f t="shared" si="6"/>
        <v>0</v>
      </c>
    </row>
    <row r="54" spans="1:13" ht="25.5" customHeight="1">
      <c r="A54" s="774" t="s">
        <v>404</v>
      </c>
      <c r="B54" s="774"/>
      <c r="C54" s="774"/>
      <c r="D54" s="774"/>
      <c r="E54" s="774"/>
      <c r="F54" s="774"/>
      <c r="G54" s="774"/>
      <c r="H54" s="774"/>
      <c r="I54" s="774"/>
      <c r="J54" s="774"/>
    </row>
    <row r="55" spans="1:13" ht="41.25" customHeight="1">
      <c r="A55" s="248" t="s">
        <v>265</v>
      </c>
      <c r="B55" s="249" t="s">
        <v>310</v>
      </c>
      <c r="C55" s="272">
        <f>C56+C57+C61+C65+C66</f>
        <v>0</v>
      </c>
      <c r="D55" s="272">
        <f t="shared" ref="D55:J55" si="7">D56+D57+D61+D65+D66</f>
        <v>0</v>
      </c>
      <c r="E55" s="272">
        <f t="shared" si="7"/>
        <v>0</v>
      </c>
      <c r="F55" s="272">
        <f>SUM(G55:J55)</f>
        <v>0</v>
      </c>
      <c r="G55" s="272">
        <f t="shared" si="7"/>
        <v>0</v>
      </c>
      <c r="H55" s="272">
        <f t="shared" si="7"/>
        <v>0</v>
      </c>
      <c r="I55" s="272">
        <f t="shared" si="7"/>
        <v>0</v>
      </c>
      <c r="J55" s="272">
        <f t="shared" si="7"/>
        <v>0</v>
      </c>
    </row>
    <row r="56" spans="1:13" ht="21" customHeight="1">
      <c r="A56" s="87" t="s">
        <v>309</v>
      </c>
      <c r="B56" s="161" t="s">
        <v>317</v>
      </c>
      <c r="C56" s="273"/>
      <c r="D56" s="273"/>
      <c r="E56" s="273"/>
      <c r="F56" s="261">
        <f t="shared" ref="F56:F79" si="8">SUM(G56:J56)</f>
        <v>0</v>
      </c>
      <c r="G56" s="273"/>
      <c r="H56" s="273"/>
      <c r="I56" s="273"/>
      <c r="J56" s="273"/>
    </row>
    <row r="57" spans="1:13" ht="34.5" customHeight="1">
      <c r="A57" s="87" t="s">
        <v>397</v>
      </c>
      <c r="B57" s="161" t="s">
        <v>318</v>
      </c>
      <c r="C57" s="273">
        <f>SUM(C58:C60)</f>
        <v>0</v>
      </c>
      <c r="D57" s="273">
        <f t="shared" ref="D57:J57" si="9">SUM(D58:D60)</f>
        <v>0</v>
      </c>
      <c r="E57" s="273">
        <f t="shared" si="9"/>
        <v>0</v>
      </c>
      <c r="F57" s="261">
        <f t="shared" si="8"/>
        <v>0</v>
      </c>
      <c r="G57" s="273">
        <f t="shared" si="9"/>
        <v>0</v>
      </c>
      <c r="H57" s="273">
        <f t="shared" si="9"/>
        <v>0</v>
      </c>
      <c r="I57" s="273">
        <f t="shared" si="9"/>
        <v>0</v>
      </c>
      <c r="J57" s="273">
        <f t="shared" si="9"/>
        <v>0</v>
      </c>
    </row>
    <row r="58" spans="1:13" ht="15" customHeight="1">
      <c r="A58" s="97" t="s">
        <v>311</v>
      </c>
      <c r="B58" s="274" t="s">
        <v>320</v>
      </c>
      <c r="C58" s="234"/>
      <c r="D58" s="234"/>
      <c r="E58" s="234"/>
      <c r="F58" s="235">
        <f t="shared" si="8"/>
        <v>0</v>
      </c>
      <c r="G58" s="234"/>
      <c r="H58" s="234"/>
      <c r="I58" s="234"/>
      <c r="J58" s="234"/>
    </row>
    <row r="59" spans="1:13" ht="18" customHeight="1">
      <c r="A59" s="97" t="s">
        <v>312</v>
      </c>
      <c r="B59" s="274" t="s">
        <v>321</v>
      </c>
      <c r="C59" s="234"/>
      <c r="D59" s="234"/>
      <c r="E59" s="234"/>
      <c r="F59" s="235">
        <f t="shared" si="8"/>
        <v>0</v>
      </c>
      <c r="G59" s="234"/>
      <c r="H59" s="234"/>
      <c r="I59" s="234"/>
      <c r="J59" s="234"/>
    </row>
    <row r="60" spans="1:13" ht="15.75" customHeight="1">
      <c r="A60" s="97" t="s">
        <v>313</v>
      </c>
      <c r="B60" s="274" t="s">
        <v>322</v>
      </c>
      <c r="C60" s="234"/>
      <c r="D60" s="234"/>
      <c r="E60" s="234"/>
      <c r="F60" s="235">
        <f t="shared" si="8"/>
        <v>0</v>
      </c>
      <c r="G60" s="234"/>
      <c r="H60" s="234"/>
      <c r="I60" s="234"/>
      <c r="J60" s="234"/>
    </row>
    <row r="61" spans="1:13" ht="35.25" customHeight="1">
      <c r="A61" s="87" t="s">
        <v>457</v>
      </c>
      <c r="B61" s="161" t="s">
        <v>319</v>
      </c>
      <c r="C61" s="273">
        <f>SUM(C62:C64)</f>
        <v>0</v>
      </c>
      <c r="D61" s="273">
        <f t="shared" ref="D61:J61" si="10">SUM(D62:D64)</f>
        <v>0</v>
      </c>
      <c r="E61" s="273">
        <f t="shared" si="10"/>
        <v>0</v>
      </c>
      <c r="F61" s="261">
        <f t="shared" si="8"/>
        <v>0</v>
      </c>
      <c r="G61" s="273">
        <f t="shared" si="10"/>
        <v>0</v>
      </c>
      <c r="H61" s="273">
        <f t="shared" si="10"/>
        <v>0</v>
      </c>
      <c r="I61" s="273">
        <f t="shared" si="10"/>
        <v>0</v>
      </c>
      <c r="J61" s="273">
        <f t="shared" si="10"/>
        <v>0</v>
      </c>
    </row>
    <row r="62" spans="1:13" ht="18" customHeight="1">
      <c r="A62" s="97" t="s">
        <v>311</v>
      </c>
      <c r="B62" s="274" t="s">
        <v>323</v>
      </c>
      <c r="C62" s="234"/>
      <c r="D62" s="234"/>
      <c r="E62" s="234"/>
      <c r="F62" s="235">
        <f t="shared" si="8"/>
        <v>0</v>
      </c>
      <c r="G62" s="234"/>
      <c r="H62" s="234"/>
      <c r="I62" s="234"/>
      <c r="J62" s="234"/>
      <c r="M62" s="23"/>
    </row>
    <row r="63" spans="1:13" ht="18" customHeight="1">
      <c r="A63" s="97" t="s">
        <v>312</v>
      </c>
      <c r="B63" s="274" t="s">
        <v>324</v>
      </c>
      <c r="C63" s="234"/>
      <c r="D63" s="234"/>
      <c r="E63" s="234"/>
      <c r="F63" s="235">
        <f t="shared" si="8"/>
        <v>0</v>
      </c>
      <c r="G63" s="234"/>
      <c r="H63" s="234"/>
      <c r="I63" s="234"/>
      <c r="J63" s="234"/>
      <c r="M63" s="23"/>
    </row>
    <row r="64" spans="1:13" ht="18.75" customHeight="1">
      <c r="A64" s="97" t="s">
        <v>313</v>
      </c>
      <c r="B64" s="274" t="s">
        <v>325</v>
      </c>
      <c r="C64" s="234"/>
      <c r="D64" s="234"/>
      <c r="E64" s="234"/>
      <c r="F64" s="235">
        <f t="shared" si="8"/>
        <v>0</v>
      </c>
      <c r="G64" s="234"/>
      <c r="H64" s="234"/>
      <c r="I64" s="234"/>
      <c r="J64" s="234"/>
      <c r="M64" s="23"/>
    </row>
    <row r="65" spans="1:14" ht="20.25" customHeight="1">
      <c r="A65" s="87" t="s">
        <v>314</v>
      </c>
      <c r="B65" s="162" t="s">
        <v>326</v>
      </c>
      <c r="C65" s="273"/>
      <c r="D65" s="273"/>
      <c r="E65" s="273"/>
      <c r="F65" s="261">
        <f t="shared" si="8"/>
        <v>0</v>
      </c>
      <c r="G65" s="273"/>
      <c r="H65" s="273"/>
      <c r="I65" s="273"/>
      <c r="J65" s="273"/>
      <c r="M65" s="23"/>
    </row>
    <row r="66" spans="1:14" ht="26.25" customHeight="1">
      <c r="A66" s="87" t="s">
        <v>315</v>
      </c>
      <c r="B66" s="162" t="s">
        <v>327</v>
      </c>
      <c r="C66" s="273"/>
      <c r="D66" s="273"/>
      <c r="E66" s="273"/>
      <c r="F66" s="261">
        <f t="shared" si="8"/>
        <v>0</v>
      </c>
      <c r="G66" s="273"/>
      <c r="H66" s="273"/>
      <c r="I66" s="273"/>
      <c r="J66" s="273"/>
      <c r="M66" s="23"/>
    </row>
    <row r="67" spans="1:14" ht="45.75" customHeight="1">
      <c r="A67" s="248" t="s">
        <v>270</v>
      </c>
      <c r="B67" s="249" t="s">
        <v>329</v>
      </c>
      <c r="C67" s="272">
        <f>C68+C69+C73+C77</f>
        <v>0</v>
      </c>
      <c r="D67" s="272">
        <f t="shared" ref="D67:J67" si="11">D68+D69+D73+D77</f>
        <v>0</v>
      </c>
      <c r="E67" s="272">
        <f t="shared" si="11"/>
        <v>0</v>
      </c>
      <c r="F67" s="272">
        <f t="shared" si="8"/>
        <v>0</v>
      </c>
      <c r="G67" s="272">
        <f t="shared" si="11"/>
        <v>0</v>
      </c>
      <c r="H67" s="272">
        <f t="shared" si="11"/>
        <v>0</v>
      </c>
      <c r="I67" s="272">
        <f t="shared" si="11"/>
        <v>0</v>
      </c>
      <c r="J67" s="272">
        <f t="shared" si="11"/>
        <v>0</v>
      </c>
      <c r="N67" s="128"/>
    </row>
    <row r="68" spans="1:14" ht="47.25" customHeight="1">
      <c r="A68" s="87" t="s">
        <v>316</v>
      </c>
      <c r="B68" s="161" t="s">
        <v>330</v>
      </c>
      <c r="C68" s="233"/>
      <c r="D68" s="233"/>
      <c r="E68" s="233"/>
      <c r="F68" s="258">
        <f t="shared" si="8"/>
        <v>0</v>
      </c>
      <c r="G68" s="275"/>
      <c r="H68" s="275"/>
      <c r="I68" s="275"/>
      <c r="J68" s="275"/>
      <c r="N68" s="128"/>
    </row>
    <row r="69" spans="1:14" ht="41.25" customHeight="1">
      <c r="A69" s="87" t="s">
        <v>398</v>
      </c>
      <c r="B69" s="161" t="s">
        <v>331</v>
      </c>
      <c r="C69" s="233">
        <f>SUM(C70:C72)</f>
        <v>0</v>
      </c>
      <c r="D69" s="233">
        <f t="shared" ref="D69:J69" si="12">SUM(D70:D72)</f>
        <v>0</v>
      </c>
      <c r="E69" s="233">
        <f t="shared" si="12"/>
        <v>0</v>
      </c>
      <c r="F69" s="258">
        <f t="shared" si="8"/>
        <v>0</v>
      </c>
      <c r="G69" s="233">
        <f t="shared" si="12"/>
        <v>0</v>
      </c>
      <c r="H69" s="233">
        <f t="shared" si="12"/>
        <v>0</v>
      </c>
      <c r="I69" s="233">
        <f t="shared" si="12"/>
        <v>0</v>
      </c>
      <c r="J69" s="233">
        <f t="shared" si="12"/>
        <v>0</v>
      </c>
      <c r="N69" s="128"/>
    </row>
    <row r="70" spans="1:14" ht="19.5" customHeight="1">
      <c r="A70" s="97" t="s">
        <v>311</v>
      </c>
      <c r="B70" s="274" t="s">
        <v>332</v>
      </c>
      <c r="C70" s="276"/>
      <c r="D70" s="276"/>
      <c r="E70" s="276"/>
      <c r="F70" s="235">
        <f t="shared" si="8"/>
        <v>0</v>
      </c>
      <c r="G70" s="276"/>
      <c r="H70" s="276"/>
      <c r="I70" s="276"/>
      <c r="J70" s="276"/>
      <c r="N70" s="128"/>
    </row>
    <row r="71" spans="1:14" ht="19.5" customHeight="1">
      <c r="A71" s="97" t="s">
        <v>312</v>
      </c>
      <c r="B71" s="274" t="s">
        <v>333</v>
      </c>
      <c r="C71" s="276"/>
      <c r="D71" s="276"/>
      <c r="E71" s="276"/>
      <c r="F71" s="235">
        <f t="shared" si="8"/>
        <v>0</v>
      </c>
      <c r="G71" s="276"/>
      <c r="H71" s="276"/>
      <c r="I71" s="276"/>
      <c r="J71" s="276"/>
      <c r="N71" s="128"/>
    </row>
    <row r="72" spans="1:14" ht="18" customHeight="1">
      <c r="A72" s="97" t="s">
        <v>313</v>
      </c>
      <c r="B72" s="274" t="s">
        <v>334</v>
      </c>
      <c r="C72" s="276"/>
      <c r="D72" s="276"/>
      <c r="E72" s="276"/>
      <c r="F72" s="235">
        <f t="shared" si="8"/>
        <v>0</v>
      </c>
      <c r="G72" s="276"/>
      <c r="H72" s="276"/>
      <c r="I72" s="276"/>
      <c r="J72" s="276"/>
      <c r="N72" s="128"/>
    </row>
    <row r="73" spans="1:14" ht="33" customHeight="1">
      <c r="A73" s="87" t="s">
        <v>606</v>
      </c>
      <c r="B73" s="161" t="s">
        <v>335</v>
      </c>
      <c r="C73" s="233">
        <f>SUM(C74:C76)</f>
        <v>0</v>
      </c>
      <c r="D73" s="233">
        <f>SUM(D74:D76)</f>
        <v>0</v>
      </c>
      <c r="E73" s="233">
        <f>SUM(E74:E76)</f>
        <v>0</v>
      </c>
      <c r="F73" s="258">
        <f t="shared" si="8"/>
        <v>0</v>
      </c>
      <c r="G73" s="233">
        <f>SUM(G74:G76)</f>
        <v>0</v>
      </c>
      <c r="H73" s="233">
        <f>SUM(H74:H76)</f>
        <v>0</v>
      </c>
      <c r="I73" s="233">
        <f>SUM(I74:I76)</f>
        <v>0</v>
      </c>
      <c r="J73" s="233">
        <f>SUM(J74:J76)</f>
        <v>0</v>
      </c>
      <c r="N73" s="128"/>
    </row>
    <row r="74" spans="1:14" ht="17.25" customHeight="1">
      <c r="A74" s="97" t="s">
        <v>311</v>
      </c>
      <c r="B74" s="274" t="s">
        <v>336</v>
      </c>
      <c r="C74" s="276"/>
      <c r="D74" s="276"/>
      <c r="E74" s="276"/>
      <c r="F74" s="235">
        <f t="shared" si="8"/>
        <v>0</v>
      </c>
      <c r="G74" s="276"/>
      <c r="H74" s="276"/>
      <c r="I74" s="276"/>
      <c r="J74" s="276"/>
      <c r="N74" s="128"/>
    </row>
    <row r="75" spans="1:14" ht="15.75" customHeight="1">
      <c r="A75" s="97" t="s">
        <v>312</v>
      </c>
      <c r="B75" s="274" t="s">
        <v>337</v>
      </c>
      <c r="C75" s="276"/>
      <c r="D75" s="276"/>
      <c r="E75" s="276"/>
      <c r="F75" s="235">
        <f t="shared" si="8"/>
        <v>0</v>
      </c>
      <c r="G75" s="276"/>
      <c r="H75" s="276"/>
      <c r="I75" s="276"/>
      <c r="J75" s="276"/>
      <c r="N75" s="128"/>
    </row>
    <row r="76" spans="1:14" ht="18" customHeight="1">
      <c r="A76" s="97" t="s">
        <v>313</v>
      </c>
      <c r="B76" s="274" t="s">
        <v>338</v>
      </c>
      <c r="C76" s="276"/>
      <c r="D76" s="276"/>
      <c r="E76" s="276"/>
      <c r="F76" s="235">
        <f t="shared" si="8"/>
        <v>0</v>
      </c>
      <c r="G76" s="276"/>
      <c r="H76" s="276"/>
      <c r="I76" s="276"/>
      <c r="J76" s="276"/>
      <c r="N76" s="128"/>
    </row>
    <row r="77" spans="1:14" ht="24.75" customHeight="1">
      <c r="A77" s="8" t="s">
        <v>305</v>
      </c>
      <c r="B77" s="161" t="s">
        <v>339</v>
      </c>
      <c r="C77" s="275"/>
      <c r="D77" s="275"/>
      <c r="E77" s="275"/>
      <c r="F77" s="258">
        <f t="shared" si="8"/>
        <v>0</v>
      </c>
      <c r="G77" s="275"/>
      <c r="H77" s="275"/>
      <c r="I77" s="275"/>
      <c r="J77" s="275"/>
      <c r="N77" s="128"/>
    </row>
    <row r="78" spans="1:14" ht="44.25" customHeight="1">
      <c r="A78" s="131" t="s">
        <v>328</v>
      </c>
      <c r="B78" s="262" t="s">
        <v>340</v>
      </c>
      <c r="C78" s="271">
        <f>C55-C67</f>
        <v>0</v>
      </c>
      <c r="D78" s="271">
        <f t="shared" ref="D78:J78" si="13">D55-D67</f>
        <v>0</v>
      </c>
      <c r="E78" s="271">
        <f t="shared" si="13"/>
        <v>0</v>
      </c>
      <c r="F78" s="272">
        <f t="shared" si="8"/>
        <v>0</v>
      </c>
      <c r="G78" s="271">
        <f t="shared" si="13"/>
        <v>0</v>
      </c>
      <c r="H78" s="271">
        <f t="shared" si="13"/>
        <v>0</v>
      </c>
      <c r="I78" s="271">
        <f t="shared" si="13"/>
        <v>0</v>
      </c>
      <c r="J78" s="271">
        <f t="shared" si="13"/>
        <v>0</v>
      </c>
      <c r="N78" s="128"/>
    </row>
    <row r="79" spans="1:14" ht="26.25" customHeight="1">
      <c r="A79" s="8" t="s">
        <v>341</v>
      </c>
      <c r="B79" s="277"/>
      <c r="C79" s="275"/>
      <c r="D79" s="275"/>
      <c r="E79" s="275"/>
      <c r="F79" s="258">
        <f t="shared" si="8"/>
        <v>0</v>
      </c>
      <c r="G79" s="275"/>
      <c r="H79" s="275"/>
      <c r="I79" s="275"/>
      <c r="J79" s="275"/>
      <c r="N79" s="128"/>
    </row>
    <row r="80" spans="1:14" ht="22.5" customHeight="1">
      <c r="A80" s="132" t="s">
        <v>25</v>
      </c>
      <c r="B80" s="262" t="s">
        <v>343</v>
      </c>
      <c r="C80" s="526">
        <v>61227.1</v>
      </c>
      <c r="D80" s="526">
        <v>26600.799999999999</v>
      </c>
      <c r="E80" s="526">
        <f>D80</f>
        <v>26600.799999999999</v>
      </c>
      <c r="F80" s="264">
        <f>E82</f>
        <v>10650.200000000008</v>
      </c>
      <c r="G80" s="264">
        <f>F80</f>
        <v>10650.200000000008</v>
      </c>
      <c r="H80" s="264">
        <f>G82</f>
        <v>9174.9000000000196</v>
      </c>
      <c r="I80" s="264">
        <f>H82</f>
        <v>4904.3000000000238</v>
      </c>
      <c r="J80" s="264">
        <f>I82</f>
        <v>2812.7500000000255</v>
      </c>
      <c r="N80" s="128"/>
    </row>
    <row r="81" spans="1:14" ht="37.5" customHeight="1">
      <c r="A81" s="147" t="s">
        <v>342</v>
      </c>
      <c r="B81" s="161" t="s">
        <v>344</v>
      </c>
      <c r="C81" s="291"/>
      <c r="D81" s="291"/>
      <c r="E81" s="291"/>
      <c r="F81" s="255"/>
      <c r="G81" s="257"/>
      <c r="H81" s="257"/>
      <c r="I81" s="257"/>
      <c r="J81" s="257"/>
      <c r="N81" s="128"/>
    </row>
    <row r="82" spans="1:14" ht="24" customHeight="1">
      <c r="A82" s="132" t="s">
        <v>38</v>
      </c>
      <c r="B82" s="262" t="s">
        <v>345</v>
      </c>
      <c r="C82" s="527">
        <f>C80+C29+C53+C78</f>
        <v>53779.499999999956</v>
      </c>
      <c r="D82" s="616">
        <f>D80+D29+D53+D78</f>
        <v>891.29999999998836</v>
      </c>
      <c r="E82" s="527">
        <f>E80+E29+E53+E78</f>
        <v>10650.200000000008</v>
      </c>
      <c r="F82" s="278">
        <f>F80+F29+F53+F78</f>
        <v>3868.0500000000211</v>
      </c>
      <c r="G82" s="279">
        <f>G80+G29+G53+G78</f>
        <v>9174.9000000000196</v>
      </c>
      <c r="H82" s="279">
        <f t="shared" ref="H82:J82" si="14">H80+H29+H53+H78</f>
        <v>4904.3000000000238</v>
      </c>
      <c r="I82" s="279">
        <f t="shared" si="14"/>
        <v>2812.7500000000255</v>
      </c>
      <c r="J82" s="279">
        <f t="shared" si="14"/>
        <v>3868.0500000000211</v>
      </c>
      <c r="K82" s="212"/>
      <c r="L82" s="212"/>
      <c r="N82" s="128"/>
    </row>
    <row r="83" spans="1:14" ht="24.75" customHeight="1">
      <c r="A83" s="132" t="s">
        <v>26</v>
      </c>
      <c r="B83" s="262" t="s">
        <v>346</v>
      </c>
      <c r="C83" s="527">
        <f>C29+C53+C78</f>
        <v>-7447.6000000000458</v>
      </c>
      <c r="D83" s="528">
        <f>D29+D53+D78</f>
        <v>-25709.500000000011</v>
      </c>
      <c r="E83" s="528">
        <f>E29+E53+E78</f>
        <v>-15950.599999999995</v>
      </c>
      <c r="F83" s="280">
        <f>F82-F80</f>
        <v>-6782.1499999999869</v>
      </c>
      <c r="G83" s="281">
        <f>G29+G53+G78</f>
        <v>-1475.2999999999884</v>
      </c>
      <c r="H83" s="281">
        <f>H29+H53+H78</f>
        <v>-4270.5999999999958</v>
      </c>
      <c r="I83" s="281">
        <f>I29+I53+I78</f>
        <v>-2091.5499999999984</v>
      </c>
      <c r="J83" s="281">
        <f>J29+J53+J78</f>
        <v>1055.2999999999956</v>
      </c>
      <c r="K83" s="212"/>
      <c r="N83" s="128"/>
    </row>
    <row r="84" spans="1:14" ht="24.75" hidden="1" customHeight="1">
      <c r="A84" s="49"/>
      <c r="B84" s="213"/>
      <c r="C84" s="214"/>
      <c r="D84" s="214"/>
      <c r="E84" s="214"/>
      <c r="F84" s="215"/>
      <c r="G84" s="214">
        <f>G80+G83</f>
        <v>9174.9000000000196</v>
      </c>
      <c r="H84" s="214">
        <f>H80+H83</f>
        <v>4904.3000000000238</v>
      </c>
      <c r="I84" s="214">
        <f>I80+I83</f>
        <v>2812.7500000000255</v>
      </c>
      <c r="J84" s="214">
        <f>J80+J83</f>
        <v>3868.0500000000211</v>
      </c>
      <c r="K84" s="212"/>
      <c r="N84" s="128"/>
    </row>
    <row r="85" spans="1:14" ht="25.5" customHeight="1">
      <c r="A85" s="239" t="s">
        <v>740</v>
      </c>
      <c r="B85" s="88"/>
      <c r="C85" s="745" t="s">
        <v>271</v>
      </c>
      <c r="D85" s="745"/>
      <c r="E85" s="164"/>
      <c r="F85" s="156"/>
      <c r="G85" s="775" t="s">
        <v>761</v>
      </c>
      <c r="H85" s="776"/>
      <c r="I85" s="776"/>
      <c r="J85" s="776"/>
    </row>
    <row r="86" spans="1:14" ht="13.5" customHeight="1">
      <c r="A86" s="19"/>
      <c r="B86" s="88"/>
      <c r="C86" s="772" t="s">
        <v>60</v>
      </c>
      <c r="D86" s="772"/>
      <c r="E86" s="163"/>
      <c r="F86" s="158"/>
      <c r="G86" s="773" t="s">
        <v>272</v>
      </c>
      <c r="H86" s="773"/>
      <c r="I86" s="773"/>
      <c r="J86" s="157"/>
    </row>
    <row r="87" spans="1:14" ht="19.5" customHeight="1">
      <c r="A87" s="19" t="s">
        <v>273</v>
      </c>
      <c r="B87" s="88"/>
      <c r="C87" s="745" t="s">
        <v>271</v>
      </c>
      <c r="D87" s="745"/>
      <c r="E87" s="164"/>
      <c r="F87" s="156"/>
      <c r="G87" s="777" t="s">
        <v>520</v>
      </c>
      <c r="H87" s="777"/>
      <c r="I87" s="777"/>
      <c r="J87" s="777"/>
    </row>
    <row r="88" spans="1:14" ht="12" customHeight="1">
      <c r="A88" s="19"/>
      <c r="B88" s="88"/>
      <c r="C88" s="772" t="s">
        <v>60</v>
      </c>
      <c r="D88" s="772"/>
      <c r="E88" s="163"/>
      <c r="F88" s="158"/>
      <c r="G88" s="773" t="s">
        <v>272</v>
      </c>
      <c r="H88" s="773"/>
      <c r="I88" s="773"/>
      <c r="J88" s="157"/>
    </row>
    <row r="89" spans="1:14" ht="17.25" customHeight="1">
      <c r="A89" s="19" t="s">
        <v>248</v>
      </c>
      <c r="B89" s="88"/>
      <c r="C89" s="745" t="s">
        <v>271</v>
      </c>
      <c r="D89" s="745"/>
      <c r="E89" s="164"/>
      <c r="F89" s="156"/>
      <c r="G89" s="777" t="s">
        <v>577</v>
      </c>
      <c r="H89" s="777"/>
      <c r="I89" s="777"/>
      <c r="J89" s="777"/>
    </row>
    <row r="90" spans="1:14" ht="12.75" customHeight="1">
      <c r="A90"/>
      <c r="B90" s="166"/>
      <c r="C90" s="772" t="s">
        <v>60</v>
      </c>
      <c r="D90" s="772"/>
      <c r="E90" s="163"/>
      <c r="F90" s="158"/>
      <c r="G90" s="773" t="s">
        <v>272</v>
      </c>
      <c r="H90" s="773"/>
      <c r="I90" s="773"/>
      <c r="J90" s="167"/>
    </row>
  </sheetData>
  <mergeCells count="23">
    <mergeCell ref="C90:D90"/>
    <mergeCell ref="G90:I90"/>
    <mergeCell ref="C88:D88"/>
    <mergeCell ref="G88:I88"/>
    <mergeCell ref="C89:D89"/>
    <mergeCell ref="G89:J89"/>
    <mergeCell ref="C86:D86"/>
    <mergeCell ref="G86:I86"/>
    <mergeCell ref="C87:D87"/>
    <mergeCell ref="A5:J5"/>
    <mergeCell ref="C85:D85"/>
    <mergeCell ref="A30:J30"/>
    <mergeCell ref="A54:J54"/>
    <mergeCell ref="G85:J85"/>
    <mergeCell ref="G87:J87"/>
    <mergeCell ref="F3:F4"/>
    <mergeCell ref="G3:J3"/>
    <mergeCell ref="A1:J1"/>
    <mergeCell ref="E3:E4"/>
    <mergeCell ref="A3:A4"/>
    <mergeCell ref="B3:B4"/>
    <mergeCell ref="C3:C4"/>
    <mergeCell ref="D3:D4"/>
  </mergeCells>
  <phoneticPr fontId="4" type="noConversion"/>
  <pageMargins left="0.98425196850393704" right="0" top="0" bottom="0" header="0.19685039370078741" footer="0.23622047244094491"/>
  <pageSetup paperSize="9" scale="57" fitToHeight="3" orientation="portrait" r:id="rId1"/>
  <headerFooter alignWithMargins="0"/>
  <rowBreaks count="1" manualBreakCount="1">
    <brk id="34"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pageSetUpPr fitToPage="1"/>
  </sheetPr>
  <dimension ref="A1:Q186"/>
  <sheetViews>
    <sheetView topLeftCell="A16" zoomScaleNormal="100" zoomScaleSheetLayoutView="50" workbookViewId="0">
      <selection activeCell="L7" sqref="L7"/>
    </sheetView>
  </sheetViews>
  <sheetFormatPr defaultColWidth="9.140625" defaultRowHeight="18.75"/>
  <cols>
    <col min="1" max="1" width="43.42578125" style="2" customWidth="1"/>
    <col min="2" max="2" width="7.5703125" style="4" customWidth="1"/>
    <col min="3" max="3" width="12.42578125" style="566" customWidth="1"/>
    <col min="4" max="4" width="12.28515625" style="566" customWidth="1"/>
    <col min="5" max="5" width="12.140625" style="4" customWidth="1"/>
    <col min="6" max="6" width="13.140625" style="2" customWidth="1"/>
    <col min="7" max="7" width="13.42578125" style="2" customWidth="1"/>
    <col min="8" max="8" width="13.5703125" style="2" customWidth="1"/>
    <col min="9" max="9" width="11.140625" style="2" customWidth="1"/>
    <col min="10" max="10" width="10.5703125" style="2" customWidth="1"/>
    <col min="11" max="11" width="9.5703125" style="2" customWidth="1"/>
    <col min="12" max="12" width="9.85546875" style="2" customWidth="1"/>
    <col min="13" max="14" width="9.140625" style="2"/>
    <col min="15" max="15" width="17.7109375" style="2" customWidth="1"/>
    <col min="16" max="16384" width="9.140625" style="2"/>
  </cols>
  <sheetData>
    <row r="1" spans="1:17" ht="22.5" customHeight="1">
      <c r="A1" s="728" t="s">
        <v>146</v>
      </c>
      <c r="B1" s="728"/>
      <c r="C1" s="728"/>
      <c r="D1" s="728"/>
      <c r="E1" s="728"/>
      <c r="F1" s="728"/>
      <c r="G1" s="728"/>
      <c r="H1" s="728"/>
      <c r="I1" s="728"/>
      <c r="J1" s="728"/>
    </row>
    <row r="2" spans="1:17" ht="12" customHeight="1">
      <c r="A2" s="766"/>
      <c r="B2" s="766"/>
      <c r="C2" s="766"/>
      <c r="D2" s="766"/>
      <c r="E2" s="766"/>
      <c r="F2" s="766"/>
      <c r="G2" s="766"/>
      <c r="H2" s="766"/>
      <c r="I2" s="766"/>
      <c r="J2" s="766"/>
    </row>
    <row r="3" spans="1:17" ht="43.5" customHeight="1">
      <c r="A3" s="732" t="s">
        <v>167</v>
      </c>
      <c r="B3" s="770" t="s">
        <v>14</v>
      </c>
      <c r="C3" s="770" t="s">
        <v>23</v>
      </c>
      <c r="D3" s="770" t="s">
        <v>29</v>
      </c>
      <c r="E3" s="778" t="s">
        <v>113</v>
      </c>
      <c r="F3" s="734" t="s">
        <v>17</v>
      </c>
      <c r="G3" s="734" t="s">
        <v>123</v>
      </c>
      <c r="H3" s="734"/>
      <c r="I3" s="734"/>
      <c r="J3" s="734"/>
    </row>
    <row r="4" spans="1:17" ht="69" customHeight="1">
      <c r="A4" s="732"/>
      <c r="B4" s="770"/>
      <c r="C4" s="770"/>
      <c r="D4" s="770"/>
      <c r="E4" s="778"/>
      <c r="F4" s="734"/>
      <c r="G4" s="13" t="s">
        <v>124</v>
      </c>
      <c r="H4" s="13" t="s">
        <v>125</v>
      </c>
      <c r="I4" s="13" t="s">
        <v>126</v>
      </c>
      <c r="J4" s="13" t="s">
        <v>55</v>
      </c>
    </row>
    <row r="5" spans="1:17" ht="18" customHeight="1">
      <c r="A5" s="6">
        <v>1</v>
      </c>
      <c r="B5" s="92">
        <v>2</v>
      </c>
      <c r="C5" s="7">
        <v>3</v>
      </c>
      <c r="D5" s="7">
        <v>4</v>
      </c>
      <c r="E5" s="7">
        <v>5</v>
      </c>
      <c r="F5" s="7">
        <v>6</v>
      </c>
      <c r="G5" s="7">
        <v>7</v>
      </c>
      <c r="H5" s="7">
        <v>8</v>
      </c>
      <c r="I5" s="7">
        <v>9</v>
      </c>
      <c r="J5" s="7">
        <v>10</v>
      </c>
    </row>
    <row r="6" spans="1:17" s="5" customFormat="1" ht="39.75" customHeight="1">
      <c r="A6" s="8" t="s">
        <v>63</v>
      </c>
      <c r="B6" s="100">
        <v>4000</v>
      </c>
      <c r="C6" s="206">
        <f>SUM(C7:C15)+C18</f>
        <v>10851.699999999999</v>
      </c>
      <c r="D6" s="206">
        <f>SUM(D7:D15)+D18</f>
        <v>16063.9</v>
      </c>
      <c r="E6" s="206">
        <f>SUM(E7:E15)+E18</f>
        <v>33679.1</v>
      </c>
      <c r="F6" s="179">
        <f>G6+H6+I6+J6</f>
        <v>10275.5</v>
      </c>
      <c r="G6" s="179">
        <f>SUM(G7:G15)</f>
        <v>2425.5</v>
      </c>
      <c r="H6" s="179">
        <f>SUM(H7:H15)</f>
        <v>4563.8</v>
      </c>
      <c r="I6" s="179">
        <f>SUM(I7:I15)</f>
        <v>3286.2</v>
      </c>
      <c r="J6" s="179">
        <f>SUM(J7:J15)</f>
        <v>0</v>
      </c>
    </row>
    <row r="7" spans="1:17" ht="56.25" customHeight="1">
      <c r="A7" s="87" t="s">
        <v>561</v>
      </c>
      <c r="B7" s="92" t="s">
        <v>150</v>
      </c>
      <c r="C7" s="206">
        <v>0</v>
      </c>
      <c r="D7" s="206">
        <v>0</v>
      </c>
      <c r="E7" s="206">
        <v>0</v>
      </c>
      <c r="F7" s="179">
        <f>G7+H7</f>
        <v>0</v>
      </c>
      <c r="G7" s="178">
        <v>0</v>
      </c>
      <c r="H7" s="178">
        <v>0</v>
      </c>
      <c r="I7" s="178">
        <v>0</v>
      </c>
      <c r="J7" s="178">
        <v>0</v>
      </c>
    </row>
    <row r="8" spans="1:17" ht="82.5" customHeight="1">
      <c r="A8" s="8" t="s">
        <v>601</v>
      </c>
      <c r="B8" s="100">
        <v>4020</v>
      </c>
      <c r="C8" s="206">
        <v>5266.2</v>
      </c>
      <c r="D8" s="206">
        <v>1350</v>
      </c>
      <c r="E8" s="206">
        <v>1350</v>
      </c>
      <c r="F8" s="529">
        <f t="shared" ref="F8:F17" si="0">G8+H8+I8+J8</f>
        <v>1350</v>
      </c>
      <c r="G8" s="178">
        <f>750+100</f>
        <v>850</v>
      </c>
      <c r="H8" s="178">
        <v>500</v>
      </c>
      <c r="I8" s="178"/>
      <c r="J8" s="178"/>
      <c r="Q8" s="17"/>
    </row>
    <row r="9" spans="1:17" ht="61.5" customHeight="1">
      <c r="A9" s="298" t="s">
        <v>589</v>
      </c>
      <c r="B9" s="299" t="s">
        <v>588</v>
      </c>
      <c r="C9" s="300">
        <v>1165.5</v>
      </c>
      <c r="D9" s="300">
        <v>0</v>
      </c>
      <c r="E9" s="300">
        <v>419.1</v>
      </c>
      <c r="F9" s="529">
        <f t="shared" si="0"/>
        <v>0</v>
      </c>
      <c r="G9" s="300"/>
      <c r="H9" s="300"/>
      <c r="I9" s="300"/>
      <c r="J9" s="300"/>
      <c r="Q9" s="17"/>
    </row>
    <row r="10" spans="1:17" ht="52.5" customHeight="1">
      <c r="A10" s="298" t="s">
        <v>754</v>
      </c>
      <c r="B10" s="299"/>
      <c r="C10" s="300"/>
      <c r="D10" s="300"/>
      <c r="E10" s="300">
        <v>74</v>
      </c>
      <c r="F10" s="529"/>
      <c r="G10" s="300"/>
      <c r="H10" s="300"/>
      <c r="I10" s="300"/>
      <c r="J10" s="300"/>
      <c r="Q10" s="17"/>
    </row>
    <row r="11" spans="1:17" ht="70.5" customHeight="1">
      <c r="A11" s="8" t="s">
        <v>547</v>
      </c>
      <c r="B11" s="92">
        <v>4030</v>
      </c>
      <c r="C11" s="206">
        <v>2191.3000000000002</v>
      </c>
      <c r="D11" s="206">
        <v>2925.5</v>
      </c>
      <c r="E11" s="206">
        <v>2925.5</v>
      </c>
      <c r="F11" s="529">
        <f t="shared" si="0"/>
        <v>1925.5</v>
      </c>
      <c r="G11" s="178">
        <f>50+125.5</f>
        <v>175.5</v>
      </c>
      <c r="H11" s="178">
        <v>750</v>
      </c>
      <c r="I11" s="178">
        <v>1000</v>
      </c>
      <c r="J11" s="178"/>
      <c r="P11" s="17"/>
    </row>
    <row r="12" spans="1:17" ht="70.5" customHeight="1">
      <c r="A12" s="298" t="s">
        <v>590</v>
      </c>
      <c r="B12" s="301" t="s">
        <v>591</v>
      </c>
      <c r="C12" s="300">
        <v>127.3</v>
      </c>
      <c r="D12" s="300">
        <v>0</v>
      </c>
      <c r="E12" s="300">
        <v>75.400000000000006</v>
      </c>
      <c r="F12" s="529">
        <f t="shared" si="0"/>
        <v>0</v>
      </c>
      <c r="G12" s="300"/>
      <c r="H12" s="300"/>
      <c r="I12" s="300"/>
      <c r="J12" s="300"/>
      <c r="P12" s="17"/>
    </row>
    <row r="13" spans="1:17" ht="58.5" customHeight="1">
      <c r="A13" s="298" t="s">
        <v>755</v>
      </c>
      <c r="B13" s="301"/>
      <c r="C13" s="300"/>
      <c r="D13" s="300"/>
      <c r="E13" s="300">
        <v>46</v>
      </c>
      <c r="F13" s="529"/>
      <c r="G13" s="300"/>
      <c r="H13" s="300"/>
      <c r="I13" s="300"/>
      <c r="J13" s="300"/>
      <c r="P13" s="17"/>
    </row>
    <row r="14" spans="1:17" ht="101.25" customHeight="1">
      <c r="A14" s="8" t="s">
        <v>711</v>
      </c>
      <c r="B14" s="100">
        <v>4040</v>
      </c>
      <c r="C14" s="206">
        <v>15</v>
      </c>
      <c r="D14" s="206">
        <v>0</v>
      </c>
      <c r="E14" s="206">
        <v>0</v>
      </c>
      <c r="F14" s="529">
        <f t="shared" si="0"/>
        <v>0</v>
      </c>
      <c r="G14" s="178">
        <v>0</v>
      </c>
      <c r="H14" s="178">
        <v>0</v>
      </c>
      <c r="I14" s="178">
        <v>0</v>
      </c>
      <c r="J14" s="178">
        <v>0</v>
      </c>
    </row>
    <row r="15" spans="1:17" ht="63.75" customHeight="1">
      <c r="A15" s="87" t="s">
        <v>514</v>
      </c>
      <c r="B15" s="92">
        <v>4050</v>
      </c>
      <c r="C15" s="206">
        <f>C16</f>
        <v>1525.8</v>
      </c>
      <c r="D15" s="206">
        <f>D16</f>
        <v>11788.4</v>
      </c>
      <c r="E15" s="206">
        <f>E16</f>
        <v>26689.1</v>
      </c>
      <c r="F15" s="529">
        <f t="shared" si="0"/>
        <v>7000</v>
      </c>
      <c r="G15" s="178">
        <f>G16+G17</f>
        <v>1400</v>
      </c>
      <c r="H15" s="178">
        <f>H16+H17</f>
        <v>3313.8</v>
      </c>
      <c r="I15" s="178">
        <f>I16+I17</f>
        <v>2286.1999999999998</v>
      </c>
      <c r="J15" s="178">
        <f>J16+J17</f>
        <v>0</v>
      </c>
    </row>
    <row r="16" spans="1:17" ht="133.5" customHeight="1">
      <c r="A16" s="168" t="s">
        <v>765</v>
      </c>
      <c r="B16" s="98">
        <v>4051</v>
      </c>
      <c r="C16" s="206">
        <v>1525.8</v>
      </c>
      <c r="D16" s="206">
        <v>11788.4</v>
      </c>
      <c r="E16" s="206">
        <v>26689.1</v>
      </c>
      <c r="F16" s="529">
        <f t="shared" si="0"/>
        <v>7000</v>
      </c>
      <c r="G16" s="178">
        <v>1400</v>
      </c>
      <c r="H16" s="555">
        <v>3313.8</v>
      </c>
      <c r="I16" s="178">
        <v>2286.1999999999998</v>
      </c>
      <c r="J16" s="178">
        <v>0</v>
      </c>
    </row>
    <row r="17" spans="1:15" s="311" customFormat="1" ht="46.5" hidden="1" customHeight="1">
      <c r="A17" s="548" t="s">
        <v>609</v>
      </c>
      <c r="B17" s="549"/>
      <c r="C17" s="178">
        <v>0</v>
      </c>
      <c r="D17" s="206">
        <v>0</v>
      </c>
      <c r="E17" s="206">
        <v>0</v>
      </c>
      <c r="F17" s="550">
        <f t="shared" si="0"/>
        <v>0</v>
      </c>
      <c r="G17" s="551"/>
      <c r="H17" s="551">
        <v>0</v>
      </c>
      <c r="I17" s="551">
        <v>0</v>
      </c>
      <c r="J17" s="551"/>
      <c r="L17" s="779" t="s">
        <v>724</v>
      </c>
      <c r="M17" s="779"/>
      <c r="N17" s="779"/>
      <c r="O17" s="779"/>
    </row>
    <row r="18" spans="1:15" ht="48.75" customHeight="1">
      <c r="A18" s="302" t="s">
        <v>600</v>
      </c>
      <c r="B18" s="92">
        <v>4060</v>
      </c>
      <c r="C18" s="630">
        <v>560.6</v>
      </c>
      <c r="D18" s="206">
        <v>0</v>
      </c>
      <c r="E18" s="206">
        <v>2100</v>
      </c>
      <c r="F18" s="529">
        <f>-H24</f>
        <v>0</v>
      </c>
      <c r="G18" s="206">
        <v>0</v>
      </c>
      <c r="H18" s="206" t="s">
        <v>607</v>
      </c>
      <c r="I18" s="206">
        <v>0</v>
      </c>
      <c r="J18" s="206">
        <v>0</v>
      </c>
    </row>
    <row r="19" spans="1:15" ht="56.25" customHeight="1">
      <c r="A19" s="238" t="s">
        <v>740</v>
      </c>
      <c r="B19" s="1"/>
      <c r="C19" s="750" t="s">
        <v>85</v>
      </c>
      <c r="D19" s="751"/>
      <c r="E19" s="751"/>
      <c r="F19" s="751"/>
      <c r="G19" s="12"/>
      <c r="H19" s="780" t="s">
        <v>762</v>
      </c>
      <c r="I19" s="780"/>
      <c r="J19" s="780"/>
    </row>
    <row r="20" spans="1:15" ht="20.100000000000001" customHeight="1">
      <c r="A20" s="85" t="s">
        <v>59</v>
      </c>
      <c r="B20" s="122"/>
      <c r="C20" s="781" t="s">
        <v>60</v>
      </c>
      <c r="D20" s="781"/>
      <c r="E20" s="781"/>
      <c r="F20" s="781"/>
      <c r="G20" s="123"/>
      <c r="H20" s="753" t="s">
        <v>82</v>
      </c>
      <c r="I20" s="753"/>
      <c r="J20" s="753"/>
    </row>
    <row r="21" spans="1:15">
      <c r="A21" s="43"/>
    </row>
    <row r="22" spans="1:15">
      <c r="A22" s="43"/>
    </row>
    <row r="23" spans="1:15">
      <c r="A23" s="43"/>
    </row>
    <row r="24" spans="1:15">
      <c r="A24" s="43"/>
      <c r="F24" s="22"/>
    </row>
    <row r="25" spans="1:15">
      <c r="A25" s="43"/>
    </row>
    <row r="26" spans="1:15">
      <c r="A26" s="43"/>
    </row>
    <row r="27" spans="1:15">
      <c r="A27" s="43"/>
    </row>
    <row r="28" spans="1:15">
      <c r="A28" s="43"/>
    </row>
    <row r="29" spans="1:15">
      <c r="A29" s="43"/>
    </row>
    <row r="30" spans="1:15">
      <c r="A30" s="43"/>
    </row>
    <row r="31" spans="1:15">
      <c r="A31" s="43"/>
    </row>
    <row r="32" spans="1:15">
      <c r="A32" s="43"/>
    </row>
    <row r="33" spans="1:1">
      <c r="A33" s="43"/>
    </row>
    <row r="34" spans="1:1">
      <c r="A34" s="43"/>
    </row>
    <row r="35" spans="1:1">
      <c r="A35" s="43"/>
    </row>
    <row r="36" spans="1:1">
      <c r="A36" s="43"/>
    </row>
    <row r="37" spans="1:1">
      <c r="A37" s="43"/>
    </row>
    <row r="38" spans="1:1">
      <c r="A38" s="43"/>
    </row>
    <row r="39" spans="1:1">
      <c r="A39" s="43"/>
    </row>
    <row r="40" spans="1:1">
      <c r="A40" s="43"/>
    </row>
    <row r="41" spans="1:1">
      <c r="A41" s="43"/>
    </row>
    <row r="42" spans="1:1">
      <c r="A42" s="43"/>
    </row>
    <row r="43" spans="1:1">
      <c r="A43" s="43"/>
    </row>
    <row r="44" spans="1:1">
      <c r="A44" s="43"/>
    </row>
    <row r="45" spans="1:1">
      <c r="A45" s="43"/>
    </row>
    <row r="46" spans="1:1">
      <c r="A46" s="43"/>
    </row>
    <row r="47" spans="1:1">
      <c r="A47" s="43"/>
    </row>
    <row r="48" spans="1:1">
      <c r="A48" s="43"/>
    </row>
    <row r="49" spans="1:1">
      <c r="A49" s="43"/>
    </row>
    <row r="50" spans="1:1">
      <c r="A50" s="43"/>
    </row>
    <row r="51" spans="1:1">
      <c r="A51" s="43"/>
    </row>
    <row r="52" spans="1:1">
      <c r="A52" s="43"/>
    </row>
    <row r="53" spans="1:1">
      <c r="A53" s="43"/>
    </row>
    <row r="54" spans="1:1">
      <c r="A54" s="43"/>
    </row>
    <row r="55" spans="1:1">
      <c r="A55" s="43"/>
    </row>
    <row r="56" spans="1:1">
      <c r="A56" s="43"/>
    </row>
    <row r="57" spans="1:1">
      <c r="A57" s="43"/>
    </row>
    <row r="58" spans="1:1">
      <c r="A58" s="43"/>
    </row>
    <row r="59" spans="1:1">
      <c r="A59" s="43"/>
    </row>
    <row r="60" spans="1:1">
      <c r="A60" s="43"/>
    </row>
    <row r="61" spans="1:1">
      <c r="A61" s="43"/>
    </row>
    <row r="62" spans="1:1">
      <c r="A62" s="43"/>
    </row>
    <row r="63" spans="1:1">
      <c r="A63" s="43"/>
    </row>
    <row r="64" spans="1:1">
      <c r="A64" s="43"/>
    </row>
    <row r="65" spans="1:1">
      <c r="A65" s="43"/>
    </row>
    <row r="66" spans="1:1">
      <c r="A66" s="43"/>
    </row>
    <row r="67" spans="1:1">
      <c r="A67" s="43"/>
    </row>
    <row r="68" spans="1:1">
      <c r="A68" s="43"/>
    </row>
    <row r="69" spans="1:1">
      <c r="A69" s="43"/>
    </row>
    <row r="70" spans="1:1">
      <c r="A70" s="43"/>
    </row>
    <row r="71" spans="1:1">
      <c r="A71" s="43"/>
    </row>
    <row r="72" spans="1:1">
      <c r="A72" s="43"/>
    </row>
    <row r="73" spans="1:1">
      <c r="A73" s="43"/>
    </row>
    <row r="74" spans="1:1">
      <c r="A74" s="43"/>
    </row>
    <row r="75" spans="1:1">
      <c r="A75" s="43"/>
    </row>
    <row r="76" spans="1:1">
      <c r="A76" s="43"/>
    </row>
    <row r="77" spans="1:1">
      <c r="A77" s="43"/>
    </row>
    <row r="78" spans="1:1">
      <c r="A78" s="43"/>
    </row>
    <row r="79" spans="1:1">
      <c r="A79" s="43"/>
    </row>
    <row r="80" spans="1:1">
      <c r="A80" s="43"/>
    </row>
    <row r="81" spans="1:1">
      <c r="A81" s="43"/>
    </row>
    <row r="82" spans="1:1">
      <c r="A82" s="43"/>
    </row>
    <row r="83" spans="1:1">
      <c r="A83" s="43"/>
    </row>
    <row r="84" spans="1:1">
      <c r="A84" s="43"/>
    </row>
    <row r="85" spans="1:1">
      <c r="A85" s="43"/>
    </row>
    <row r="86" spans="1:1">
      <c r="A86" s="43"/>
    </row>
    <row r="87" spans="1:1">
      <c r="A87" s="43"/>
    </row>
    <row r="88" spans="1:1">
      <c r="A88" s="43"/>
    </row>
    <row r="89" spans="1:1">
      <c r="A89" s="43"/>
    </row>
    <row r="90" spans="1:1">
      <c r="A90" s="43"/>
    </row>
    <row r="91" spans="1:1">
      <c r="A91" s="43"/>
    </row>
    <row r="92" spans="1:1">
      <c r="A92" s="43"/>
    </row>
    <row r="93" spans="1:1">
      <c r="A93" s="43"/>
    </row>
    <row r="94" spans="1:1">
      <c r="A94" s="43"/>
    </row>
    <row r="95" spans="1:1">
      <c r="A95" s="43"/>
    </row>
    <row r="96" spans="1:1">
      <c r="A96" s="43"/>
    </row>
    <row r="97" spans="1:1">
      <c r="A97" s="43"/>
    </row>
    <row r="98" spans="1:1">
      <c r="A98" s="43"/>
    </row>
    <row r="99" spans="1:1">
      <c r="A99" s="43"/>
    </row>
    <row r="100" spans="1:1">
      <c r="A100" s="43"/>
    </row>
    <row r="101" spans="1:1">
      <c r="A101" s="43"/>
    </row>
    <row r="102" spans="1:1">
      <c r="A102" s="43"/>
    </row>
    <row r="103" spans="1:1">
      <c r="A103" s="43"/>
    </row>
    <row r="104" spans="1:1">
      <c r="A104" s="43"/>
    </row>
    <row r="105" spans="1:1">
      <c r="A105" s="43"/>
    </row>
    <row r="106" spans="1:1">
      <c r="A106" s="43"/>
    </row>
    <row r="107" spans="1:1">
      <c r="A107" s="43"/>
    </row>
    <row r="108" spans="1:1">
      <c r="A108" s="43"/>
    </row>
    <row r="109" spans="1:1">
      <c r="A109" s="43"/>
    </row>
    <row r="110" spans="1:1">
      <c r="A110" s="43"/>
    </row>
    <row r="111" spans="1:1">
      <c r="A111" s="43"/>
    </row>
    <row r="112" spans="1:1">
      <c r="A112" s="43"/>
    </row>
    <row r="113" spans="1:1">
      <c r="A113" s="43"/>
    </row>
    <row r="114" spans="1:1">
      <c r="A114" s="43"/>
    </row>
    <row r="115" spans="1:1">
      <c r="A115" s="43"/>
    </row>
    <row r="116" spans="1:1">
      <c r="A116" s="43"/>
    </row>
    <row r="117" spans="1:1">
      <c r="A117" s="43"/>
    </row>
    <row r="118" spans="1:1">
      <c r="A118" s="43"/>
    </row>
    <row r="119" spans="1:1">
      <c r="A119" s="43"/>
    </row>
    <row r="120" spans="1:1">
      <c r="A120" s="43"/>
    </row>
    <row r="121" spans="1:1">
      <c r="A121" s="43"/>
    </row>
    <row r="122" spans="1:1">
      <c r="A122" s="43"/>
    </row>
    <row r="123" spans="1:1">
      <c r="A123" s="43"/>
    </row>
    <row r="124" spans="1:1">
      <c r="A124" s="43"/>
    </row>
    <row r="125" spans="1:1">
      <c r="A125" s="43"/>
    </row>
    <row r="126" spans="1:1">
      <c r="A126" s="43"/>
    </row>
    <row r="127" spans="1:1">
      <c r="A127" s="43"/>
    </row>
    <row r="128" spans="1:1">
      <c r="A128" s="43"/>
    </row>
    <row r="129" spans="1:1">
      <c r="A129" s="43"/>
    </row>
    <row r="130" spans="1:1">
      <c r="A130" s="43"/>
    </row>
    <row r="131" spans="1:1">
      <c r="A131" s="43"/>
    </row>
    <row r="132" spans="1:1">
      <c r="A132" s="43"/>
    </row>
    <row r="133" spans="1:1">
      <c r="A133" s="43"/>
    </row>
    <row r="134" spans="1:1">
      <c r="A134" s="43"/>
    </row>
    <row r="135" spans="1:1">
      <c r="A135" s="43"/>
    </row>
    <row r="136" spans="1:1">
      <c r="A136" s="43"/>
    </row>
    <row r="137" spans="1:1">
      <c r="A137" s="43"/>
    </row>
    <row r="138" spans="1:1">
      <c r="A138" s="43"/>
    </row>
    <row r="139" spans="1:1">
      <c r="A139" s="43"/>
    </row>
    <row r="140" spans="1:1">
      <c r="A140" s="43"/>
    </row>
    <row r="141" spans="1:1">
      <c r="A141" s="43"/>
    </row>
    <row r="142" spans="1:1">
      <c r="A142" s="43"/>
    </row>
    <row r="143" spans="1:1">
      <c r="A143" s="43"/>
    </row>
    <row r="144" spans="1:1">
      <c r="A144" s="43"/>
    </row>
    <row r="145" spans="1:1">
      <c r="A145" s="43"/>
    </row>
    <row r="146" spans="1:1">
      <c r="A146" s="43"/>
    </row>
    <row r="147" spans="1:1">
      <c r="A147" s="43"/>
    </row>
    <row r="148" spans="1:1">
      <c r="A148" s="43"/>
    </row>
    <row r="149" spans="1:1">
      <c r="A149" s="43"/>
    </row>
    <row r="150" spans="1:1">
      <c r="A150" s="43"/>
    </row>
    <row r="151" spans="1:1">
      <c r="A151" s="43"/>
    </row>
    <row r="152" spans="1:1">
      <c r="A152" s="43"/>
    </row>
    <row r="153" spans="1:1">
      <c r="A153" s="43"/>
    </row>
    <row r="154" spans="1:1">
      <c r="A154" s="43"/>
    </row>
    <row r="155" spans="1:1">
      <c r="A155" s="43"/>
    </row>
    <row r="156" spans="1:1">
      <c r="A156" s="43"/>
    </row>
    <row r="157" spans="1:1">
      <c r="A157" s="43"/>
    </row>
    <row r="158" spans="1:1">
      <c r="A158" s="43"/>
    </row>
    <row r="159" spans="1:1">
      <c r="A159" s="43"/>
    </row>
    <row r="160" spans="1:1">
      <c r="A160" s="43"/>
    </row>
    <row r="161" spans="1:1">
      <c r="A161" s="43"/>
    </row>
    <row r="162" spans="1:1">
      <c r="A162" s="43"/>
    </row>
    <row r="163" spans="1:1">
      <c r="A163" s="43"/>
    </row>
    <row r="164" spans="1:1">
      <c r="A164" s="43"/>
    </row>
    <row r="165" spans="1:1">
      <c r="A165" s="43"/>
    </row>
    <row r="166" spans="1:1">
      <c r="A166" s="43"/>
    </row>
    <row r="167" spans="1:1">
      <c r="A167" s="43"/>
    </row>
    <row r="168" spans="1:1">
      <c r="A168" s="43"/>
    </row>
    <row r="169" spans="1:1">
      <c r="A169" s="43"/>
    </row>
    <row r="170" spans="1:1">
      <c r="A170" s="43"/>
    </row>
    <row r="171" spans="1:1">
      <c r="A171" s="43"/>
    </row>
    <row r="172" spans="1:1">
      <c r="A172" s="43"/>
    </row>
    <row r="173" spans="1:1">
      <c r="A173" s="43"/>
    </row>
    <row r="174" spans="1:1">
      <c r="A174" s="43"/>
    </row>
    <row r="175" spans="1:1">
      <c r="A175" s="43"/>
    </row>
    <row r="176" spans="1:1">
      <c r="A176" s="43"/>
    </row>
    <row r="177" spans="1:1">
      <c r="A177" s="43"/>
    </row>
    <row r="178" spans="1:1">
      <c r="A178" s="43"/>
    </row>
    <row r="179" spans="1:1">
      <c r="A179" s="43"/>
    </row>
    <row r="180" spans="1:1">
      <c r="A180" s="43"/>
    </row>
    <row r="181" spans="1:1">
      <c r="A181" s="43"/>
    </row>
    <row r="182" spans="1:1">
      <c r="A182" s="43"/>
    </row>
    <row r="183" spans="1:1">
      <c r="A183" s="43"/>
    </row>
    <row r="184" spans="1:1">
      <c r="A184" s="43"/>
    </row>
    <row r="185" spans="1:1">
      <c r="A185" s="43"/>
    </row>
    <row r="186" spans="1:1">
      <c r="A186" s="43"/>
    </row>
  </sheetData>
  <mergeCells count="14">
    <mergeCell ref="L17:O17"/>
    <mergeCell ref="C19:F19"/>
    <mergeCell ref="H19:J19"/>
    <mergeCell ref="C20:F20"/>
    <mergeCell ref="H20:J20"/>
    <mergeCell ref="A1:J1"/>
    <mergeCell ref="B3:B4"/>
    <mergeCell ref="C3:C4"/>
    <mergeCell ref="D3:D4"/>
    <mergeCell ref="A2:J2"/>
    <mergeCell ref="F3:F4"/>
    <mergeCell ref="G3:J3"/>
    <mergeCell ref="E3:E4"/>
    <mergeCell ref="A3:A4"/>
  </mergeCells>
  <phoneticPr fontId="0" type="noConversion"/>
  <pageMargins left="0.98425196850393704" right="0" top="0" bottom="0" header="0.27559055118110237" footer="0.31496062992125984"/>
  <pageSetup paperSize="9" scale="61" firstPageNumber="9" orientation="portrait" useFirstPageNumber="1"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pageSetUpPr fitToPage="1"/>
  </sheetPr>
  <dimension ref="A1:J14"/>
  <sheetViews>
    <sheetView view="pageBreakPreview" zoomScale="75" zoomScaleNormal="50" zoomScaleSheetLayoutView="75" workbookViewId="0">
      <selection activeCell="L8" sqref="L8"/>
    </sheetView>
  </sheetViews>
  <sheetFormatPr defaultColWidth="9.140625" defaultRowHeight="12.75"/>
  <cols>
    <col min="1" max="1" width="41.140625" style="26" customWidth="1"/>
    <col min="2" max="2" width="5.85546875" style="26" customWidth="1"/>
    <col min="3" max="3" width="15" style="26" customWidth="1"/>
    <col min="4" max="4" width="14.85546875" style="518" customWidth="1"/>
    <col min="5" max="5" width="15.85546875" style="26" customWidth="1"/>
    <col min="6" max="6" width="14.5703125" style="26" customWidth="1"/>
    <col min="7" max="7" width="14.42578125" style="26" customWidth="1"/>
    <col min="8" max="8" width="28.42578125" style="26" customWidth="1"/>
    <col min="9" max="9" width="9.5703125" style="26" customWidth="1"/>
    <col min="10" max="16384" width="9.140625" style="26"/>
  </cols>
  <sheetData>
    <row r="1" spans="1:10" ht="60.75" customHeight="1">
      <c r="A1" s="784" t="s">
        <v>148</v>
      </c>
      <c r="B1" s="784"/>
      <c r="C1" s="784"/>
      <c r="D1" s="784"/>
      <c r="E1" s="784"/>
      <c r="F1" s="784"/>
      <c r="G1" s="784"/>
      <c r="H1" s="784"/>
    </row>
    <row r="2" spans="1:10" ht="7.5" customHeight="1"/>
    <row r="3" spans="1:10" ht="39.75" customHeight="1">
      <c r="A3" s="782" t="s">
        <v>167</v>
      </c>
      <c r="B3" s="786" t="s">
        <v>0</v>
      </c>
      <c r="C3" s="782" t="s">
        <v>78</v>
      </c>
      <c r="D3" s="782" t="s">
        <v>23</v>
      </c>
      <c r="E3" s="734" t="s">
        <v>29</v>
      </c>
      <c r="F3" s="743" t="s">
        <v>113</v>
      </c>
      <c r="G3" s="782" t="s">
        <v>79</v>
      </c>
      <c r="H3" s="782" t="s">
        <v>80</v>
      </c>
    </row>
    <row r="4" spans="1:10" ht="98.25" customHeight="1">
      <c r="A4" s="783"/>
      <c r="B4" s="787"/>
      <c r="C4" s="783"/>
      <c r="D4" s="783"/>
      <c r="E4" s="734"/>
      <c r="F4" s="744"/>
      <c r="G4" s="783"/>
      <c r="H4" s="783"/>
    </row>
    <row r="5" spans="1:10" s="19" customFormat="1" ht="15" customHeight="1">
      <c r="A5" s="109">
        <v>1</v>
      </c>
      <c r="B5" s="109">
        <v>2</v>
      </c>
      <c r="C5" s="109">
        <v>3</v>
      </c>
      <c r="D5" s="109">
        <v>4</v>
      </c>
      <c r="E5" s="109">
        <v>5</v>
      </c>
      <c r="F5" s="109">
        <v>6</v>
      </c>
      <c r="G5" s="109">
        <v>7</v>
      </c>
      <c r="H5" s="109">
        <v>8</v>
      </c>
    </row>
    <row r="6" spans="1:10" s="19" customFormat="1" ht="63.75" customHeight="1">
      <c r="A6" s="71" t="s">
        <v>121</v>
      </c>
      <c r="B6" s="124"/>
      <c r="C6" s="33"/>
      <c r="D6" s="33"/>
      <c r="E6" s="33"/>
      <c r="F6" s="33"/>
      <c r="G6" s="304"/>
      <c r="H6" s="33"/>
    </row>
    <row r="7" spans="1:10" ht="96" customHeight="1">
      <c r="A7" s="129" t="s">
        <v>219</v>
      </c>
      <c r="B7" s="92">
        <v>5000</v>
      </c>
      <c r="C7" s="73" t="s">
        <v>206</v>
      </c>
      <c r="D7" s="80">
        <f>'Осн. фін. пок.'!C57/'Осн. фін. пок.'!C81</f>
        <v>5.7901477598842614E-2</v>
      </c>
      <c r="E7" s="222">
        <f>'Осн. фін. пок.'!D57/'Осн. фін. пок.'!D81</f>
        <v>2.9294540569832203E-2</v>
      </c>
      <c r="F7" s="222">
        <f>'Осн. фін. пок.'!E57/'Осн. фін. пок.'!E81</f>
        <v>1.5841990685883028E-2</v>
      </c>
      <c r="G7" s="305">
        <f>'Осн. фін. пок.'!F57/'Осн. фін. пок.'!F81</f>
        <v>1.5341181688349498E-2</v>
      </c>
      <c r="H7" s="79" t="s">
        <v>207</v>
      </c>
    </row>
    <row r="8" spans="1:10" ht="132" customHeight="1">
      <c r="A8" s="129" t="s">
        <v>220</v>
      </c>
      <c r="B8" s="92">
        <v>5010</v>
      </c>
      <c r="C8" s="73" t="s">
        <v>81</v>
      </c>
      <c r="D8" s="80">
        <f>'Осн. фін. пок.'!C57/'Осн. фін. пок.'!C46</f>
        <v>4.1064967527170045E-2</v>
      </c>
      <c r="E8" s="240">
        <f>'Осн. фін. пок.'!D57/'Осн. фін. пок.'!D46</f>
        <v>2.0610850580193595E-2</v>
      </c>
      <c r="F8" s="240">
        <f>'Осн. фін. пок.'!E57/'Осн. фін. пок.'!E46</f>
        <v>1.3487155425220157E-2</v>
      </c>
      <c r="G8" s="306">
        <f>'Осн. фін. пок.'!F57/'Осн. фін. пок.'!F46</f>
        <v>1.2516164709644088E-2</v>
      </c>
      <c r="H8" s="79" t="s">
        <v>208</v>
      </c>
    </row>
    <row r="9" spans="1:10" ht="59.25" customHeight="1">
      <c r="A9" s="71" t="s">
        <v>122</v>
      </c>
      <c r="B9" s="92"/>
      <c r="C9" s="73"/>
      <c r="D9" s="80"/>
      <c r="E9" s="80"/>
      <c r="F9" s="80"/>
      <c r="G9" s="151"/>
      <c r="H9" s="79"/>
    </row>
    <row r="10" spans="1:10" s="19" customFormat="1" ht="114.75" customHeight="1">
      <c r="A10" s="72" t="s">
        <v>191</v>
      </c>
      <c r="B10" s="92">
        <v>5100</v>
      </c>
      <c r="C10" s="73" t="s">
        <v>118</v>
      </c>
      <c r="D10" s="151">
        <f>'Осн. фін. пок.'!C87/('Осн. фін. пок.'!C82+'Осн. фін. пок.'!C83)</f>
        <v>6.8716161553301385</v>
      </c>
      <c r="E10" s="151">
        <f>'Осн. фін. пок.'!D87/('Осн. фін. пок.'!D82+'Осн. фін. пок.'!D83)</f>
        <v>5.9490572542363891</v>
      </c>
      <c r="F10" s="151">
        <f>'Осн. фін. пок.'!E87/('Осн. фін. пок.'!E82+'Осн. фін. пок.'!E83)</f>
        <v>5.226664378860673</v>
      </c>
      <c r="G10" s="151">
        <f>'Осн. фін. пок.'!F87/('Осн. фін. пок.'!F82+'Осн. фін. пок.'!F83)</f>
        <v>3.9332980139740807</v>
      </c>
      <c r="H10" s="110" t="s">
        <v>209</v>
      </c>
    </row>
    <row r="11" spans="1:10" s="19" customFormat="1" ht="130.5" customHeight="1">
      <c r="A11" s="72" t="s">
        <v>192</v>
      </c>
      <c r="B11" s="92">
        <v>5110</v>
      </c>
      <c r="C11" s="73" t="s">
        <v>118</v>
      </c>
      <c r="D11" s="151">
        <f>'Осн. фін. пок.'!C79/'Осн. фін. пок.'!C83</f>
        <v>7.2164816604672506</v>
      </c>
      <c r="E11" s="151">
        <f>'Осн. фін. пок.'!D79/'Осн. фін. пок.'!D83</f>
        <v>7.8965052469432946</v>
      </c>
      <c r="F11" s="151">
        <f>'Осн. фін. пок.'!E79/'Осн. фін. пок.'!E83</f>
        <v>8.8000626435581548</v>
      </c>
      <c r="G11" s="151">
        <f>'Осн. фін. пок.'!F79/'Осн. фін. пок.'!F83</f>
        <v>5.3766773376017065</v>
      </c>
      <c r="H11" s="110" t="s">
        <v>210</v>
      </c>
    </row>
    <row r="12" spans="1:10" ht="156" customHeight="1">
      <c r="A12" s="10" t="s">
        <v>348</v>
      </c>
      <c r="B12" s="142">
        <v>5120</v>
      </c>
      <c r="C12" s="73" t="s">
        <v>118</v>
      </c>
      <c r="D12" s="241">
        <f>'Осн. фін. пок.'!C46/'Осн. фін. пок.'!C78</f>
        <v>3.3925183512677068</v>
      </c>
      <c r="E12" s="241">
        <f>'Осн. фін. пок.'!D46/'Осн. фін. пок.'!D78</f>
        <v>3.8004551020408162</v>
      </c>
      <c r="F12" s="241">
        <f>'Осн. фін. пок.'!E46/'Осн. фін. пок.'!E78</f>
        <v>2.8010974387619312</v>
      </c>
      <c r="G12" s="241">
        <f>'Осн. фін. пок.'!F46/'Осн. фін. пок.'!F78</f>
        <v>2.7995912951928608</v>
      </c>
      <c r="H12" s="10" t="s">
        <v>347</v>
      </c>
    </row>
    <row r="13" spans="1:10" s="2" customFormat="1" ht="55.5" customHeight="1">
      <c r="A13" s="242" t="s">
        <v>740</v>
      </c>
      <c r="B13" s="49"/>
      <c r="C13" s="1"/>
      <c r="D13" s="750" t="s">
        <v>85</v>
      </c>
      <c r="E13" s="751"/>
      <c r="F13" s="751"/>
      <c r="G13" s="751"/>
      <c r="H13" s="58" t="s">
        <v>762</v>
      </c>
    </row>
    <row r="14" spans="1:10" s="2" customFormat="1" ht="46.5" customHeight="1">
      <c r="A14" s="106" t="s">
        <v>160</v>
      </c>
      <c r="B14" s="107"/>
      <c r="C14" s="108"/>
      <c r="D14" s="785" t="s">
        <v>60</v>
      </c>
      <c r="E14" s="785"/>
      <c r="F14" s="785"/>
      <c r="G14" s="785"/>
      <c r="H14" s="108" t="s">
        <v>401</v>
      </c>
      <c r="I14" s="51"/>
      <c r="J14" s="51"/>
    </row>
  </sheetData>
  <mergeCells count="11">
    <mergeCell ref="G3:G4"/>
    <mergeCell ref="A1:H1"/>
    <mergeCell ref="H3:H4"/>
    <mergeCell ref="D13:G13"/>
    <mergeCell ref="D14:G14"/>
    <mergeCell ref="A3:A4"/>
    <mergeCell ref="B3:B4"/>
    <mergeCell ref="C3:C4"/>
    <mergeCell ref="D3:D4"/>
    <mergeCell ref="E3:E4"/>
    <mergeCell ref="F3:F4"/>
  </mergeCells>
  <phoneticPr fontId="4" type="noConversion"/>
  <pageMargins left="0.98425196850393704" right="0" top="0" bottom="0" header="0.27559055118110237" footer="0.31496062992125984"/>
  <pageSetup paperSize="9" scale="61" orientation="portrait"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3"/>
  </sheetPr>
  <dimension ref="A1:V83"/>
  <sheetViews>
    <sheetView view="pageBreakPreview" topLeftCell="A50" zoomScale="60" zoomScaleNormal="60" workbookViewId="0">
      <selection activeCell="U21" sqref="U21"/>
    </sheetView>
  </sheetViews>
  <sheetFormatPr defaultColWidth="9.140625" defaultRowHeight="18.75"/>
  <cols>
    <col min="1" max="1" width="37.5703125" style="2" customWidth="1"/>
    <col min="2" max="2" width="13.5703125" style="16" customWidth="1"/>
    <col min="3" max="3" width="12.7109375" style="2" customWidth="1"/>
    <col min="4" max="4" width="11.28515625" style="311" customWidth="1"/>
    <col min="5" max="5" width="14" style="311" customWidth="1"/>
    <col min="6" max="6" width="14.85546875" style="311" customWidth="1"/>
    <col min="7" max="7" width="13.85546875" style="311" customWidth="1"/>
    <col min="8" max="8" width="14.42578125" style="311" customWidth="1"/>
    <col min="9" max="9" width="18" style="311" customWidth="1"/>
    <col min="10" max="10" width="15" style="2" customWidth="1"/>
    <col min="11" max="11" width="14.140625" style="2" customWidth="1"/>
    <col min="12" max="12" width="11.140625" style="2" customWidth="1"/>
    <col min="13" max="13" width="14.7109375" style="2" customWidth="1"/>
    <col min="14" max="14" width="12.7109375" style="2" customWidth="1"/>
    <col min="15" max="15" width="12" style="2" customWidth="1"/>
    <col min="16" max="16" width="16.5703125" style="2" bestFit="1" customWidth="1"/>
    <col min="17" max="16384" width="9.140625" style="2"/>
  </cols>
  <sheetData>
    <row r="1" spans="1:22" ht="24" customHeight="1">
      <c r="A1" s="728" t="s">
        <v>88</v>
      </c>
      <c r="B1" s="728"/>
      <c r="C1" s="728"/>
      <c r="D1" s="728"/>
      <c r="E1" s="728"/>
      <c r="F1" s="728"/>
      <c r="G1" s="728"/>
      <c r="H1" s="728"/>
      <c r="I1" s="728"/>
      <c r="J1" s="728"/>
      <c r="K1" s="728"/>
      <c r="L1" s="728"/>
      <c r="M1" s="728"/>
      <c r="N1" s="728"/>
      <c r="O1" s="728"/>
    </row>
    <row r="2" spans="1:22" ht="21" customHeight="1">
      <c r="A2" s="728" t="s">
        <v>748</v>
      </c>
      <c r="B2" s="728"/>
      <c r="C2" s="728"/>
      <c r="D2" s="728"/>
      <c r="E2" s="728"/>
      <c r="F2" s="728"/>
      <c r="G2" s="728"/>
      <c r="H2" s="728"/>
      <c r="I2" s="728"/>
      <c r="J2" s="728"/>
      <c r="K2" s="728"/>
      <c r="L2" s="728"/>
      <c r="M2" s="728"/>
      <c r="N2" s="728"/>
      <c r="O2" s="728"/>
    </row>
    <row r="3" spans="1:22" ht="21" customHeight="1">
      <c r="A3" s="721" t="s">
        <v>434</v>
      </c>
      <c r="B3" s="721"/>
      <c r="C3" s="721"/>
      <c r="D3" s="721"/>
      <c r="E3" s="721"/>
      <c r="F3" s="721"/>
      <c r="G3" s="721"/>
      <c r="H3" s="721"/>
      <c r="I3" s="721"/>
      <c r="J3" s="721"/>
      <c r="K3" s="721"/>
      <c r="L3" s="721"/>
      <c r="M3" s="721"/>
      <c r="N3" s="721"/>
      <c r="O3" s="721"/>
    </row>
    <row r="4" spans="1:22" ht="14.25" customHeight="1">
      <c r="A4" s="811" t="s">
        <v>96</v>
      </c>
      <c r="B4" s="811"/>
      <c r="C4" s="811"/>
      <c r="D4" s="811"/>
      <c r="E4" s="811"/>
      <c r="F4" s="811"/>
      <c r="G4" s="811"/>
      <c r="H4" s="811"/>
      <c r="I4" s="811"/>
      <c r="J4" s="811"/>
      <c r="K4" s="811"/>
      <c r="L4" s="811"/>
      <c r="M4" s="811"/>
      <c r="N4" s="811"/>
      <c r="O4" s="811"/>
    </row>
    <row r="5" spans="1:22" ht="23.25" customHeight="1">
      <c r="A5" s="813" t="s">
        <v>72</v>
      </c>
      <c r="B5" s="813"/>
      <c r="C5" s="813"/>
      <c r="D5" s="813"/>
      <c r="E5" s="813"/>
      <c r="F5" s="813"/>
      <c r="G5" s="813"/>
      <c r="H5" s="813"/>
      <c r="I5" s="813"/>
      <c r="J5" s="813"/>
      <c r="K5" s="813"/>
      <c r="L5" s="813"/>
      <c r="M5" s="813"/>
      <c r="N5" s="813"/>
      <c r="O5" s="813"/>
    </row>
    <row r="6" spans="1:22" ht="8.25" customHeight="1">
      <c r="A6" s="75"/>
      <c r="B6" s="75"/>
      <c r="C6" s="75"/>
      <c r="D6" s="569"/>
      <c r="E6" s="569"/>
      <c r="F6" s="569"/>
      <c r="G6" s="569"/>
      <c r="H6" s="569"/>
      <c r="I6" s="569"/>
      <c r="J6" s="75"/>
      <c r="K6" s="75"/>
      <c r="L6" s="75"/>
      <c r="M6" s="75"/>
      <c r="N6" s="75"/>
      <c r="O6" s="75"/>
    </row>
    <row r="7" spans="1:22" ht="22.5" customHeight="1">
      <c r="A7" s="812" t="s">
        <v>211</v>
      </c>
      <c r="B7" s="812"/>
      <c r="C7" s="812"/>
      <c r="D7" s="812"/>
      <c r="E7" s="812"/>
      <c r="F7" s="812"/>
      <c r="G7" s="812"/>
      <c r="H7" s="812"/>
      <c r="I7" s="812"/>
      <c r="J7" s="812"/>
      <c r="K7" s="812"/>
      <c r="L7" s="812"/>
      <c r="M7" s="812"/>
      <c r="N7" s="812"/>
      <c r="O7" s="812"/>
    </row>
    <row r="8" spans="1:22" ht="10.5" customHeight="1">
      <c r="A8" s="43"/>
      <c r="B8" s="43"/>
      <c r="C8" s="43"/>
      <c r="D8" s="516"/>
      <c r="E8" s="516"/>
      <c r="F8" s="516"/>
      <c r="G8" s="516"/>
      <c r="H8" s="516"/>
      <c r="I8" s="516"/>
      <c r="J8" s="43"/>
      <c r="K8" s="43"/>
      <c r="L8" s="43"/>
      <c r="M8" s="43"/>
      <c r="N8" s="43"/>
      <c r="O8" s="43"/>
    </row>
    <row r="9" spans="1:22" ht="57" customHeight="1">
      <c r="A9" s="732" t="s">
        <v>167</v>
      </c>
      <c r="B9" s="732"/>
      <c r="C9" s="732"/>
      <c r="D9" s="810" t="s">
        <v>97</v>
      </c>
      <c r="E9" s="810"/>
      <c r="F9" s="810" t="s">
        <v>23</v>
      </c>
      <c r="G9" s="810"/>
      <c r="H9" s="734" t="s">
        <v>47</v>
      </c>
      <c r="I9" s="734"/>
      <c r="J9" s="734" t="s">
        <v>98</v>
      </c>
      <c r="K9" s="734"/>
      <c r="L9" s="734" t="s">
        <v>176</v>
      </c>
      <c r="M9" s="734"/>
      <c r="N9" s="734" t="s">
        <v>177</v>
      </c>
      <c r="O9" s="734"/>
    </row>
    <row r="10" spans="1:22" ht="14.25" customHeight="1">
      <c r="A10" s="805">
        <v>1</v>
      </c>
      <c r="B10" s="805"/>
      <c r="C10" s="805"/>
      <c r="D10" s="806">
        <v>2</v>
      </c>
      <c r="E10" s="806"/>
      <c r="F10" s="806">
        <v>3</v>
      </c>
      <c r="G10" s="806"/>
      <c r="H10" s="770">
        <v>4</v>
      </c>
      <c r="I10" s="770"/>
      <c r="J10" s="770">
        <v>5</v>
      </c>
      <c r="K10" s="770"/>
      <c r="L10" s="770">
        <v>6</v>
      </c>
      <c r="M10" s="770"/>
      <c r="N10" s="770">
        <v>7</v>
      </c>
      <c r="O10" s="770"/>
    </row>
    <row r="11" spans="1:22" ht="33" customHeight="1">
      <c r="A11" s="807" t="s">
        <v>351</v>
      </c>
      <c r="B11" s="808"/>
      <c r="C11" s="809"/>
      <c r="D11" s="792">
        <f>D12+D13+D14</f>
        <v>621</v>
      </c>
      <c r="E11" s="793"/>
      <c r="F11" s="790">
        <f>F12+F13+F14</f>
        <v>579</v>
      </c>
      <c r="G11" s="791"/>
      <c r="H11" s="799">
        <v>539</v>
      </c>
      <c r="I11" s="800"/>
      <c r="J11" s="799">
        <f>J12+J13+J14</f>
        <v>524</v>
      </c>
      <c r="K11" s="800"/>
      <c r="L11" s="788">
        <f>J11/H11</f>
        <v>0.9721706864564007</v>
      </c>
      <c r="M11" s="789"/>
      <c r="N11" s="788">
        <f>J11/F11</f>
        <v>0.9050086355785838</v>
      </c>
      <c r="O11" s="789"/>
      <c r="Q11" s="563"/>
      <c r="R11" s="563"/>
      <c r="S11" s="563"/>
      <c r="T11" s="563"/>
      <c r="U11" s="564"/>
      <c r="V11" s="564"/>
    </row>
    <row r="12" spans="1:22" ht="27.75" customHeight="1">
      <c r="A12" s="794" t="s">
        <v>165</v>
      </c>
      <c r="B12" s="794"/>
      <c r="C12" s="794"/>
      <c r="D12" s="797">
        <v>1</v>
      </c>
      <c r="E12" s="798"/>
      <c r="F12" s="797">
        <v>1</v>
      </c>
      <c r="G12" s="798"/>
      <c r="H12" s="801">
        <v>1</v>
      </c>
      <c r="I12" s="802"/>
      <c r="J12" s="801">
        <v>1</v>
      </c>
      <c r="K12" s="802"/>
      <c r="L12" s="788">
        <f t="shared" ref="L12:L29" si="0">J12/H12</f>
        <v>1</v>
      </c>
      <c r="M12" s="789"/>
      <c r="N12" s="788">
        <f t="shared" ref="N12:N30" si="1">J12/F12</f>
        <v>1</v>
      </c>
      <c r="O12" s="789"/>
      <c r="Q12" s="563"/>
      <c r="R12" s="563"/>
      <c r="S12" s="563"/>
      <c r="T12" s="563"/>
      <c r="U12" s="564"/>
      <c r="V12" s="564"/>
    </row>
    <row r="13" spans="1:22" ht="27" customHeight="1">
      <c r="A13" s="794" t="s">
        <v>178</v>
      </c>
      <c r="B13" s="794"/>
      <c r="C13" s="794"/>
      <c r="D13" s="797">
        <v>36</v>
      </c>
      <c r="E13" s="798"/>
      <c r="F13" s="797">
        <v>34</v>
      </c>
      <c r="G13" s="798"/>
      <c r="H13" s="799">
        <v>48</v>
      </c>
      <c r="I13" s="800"/>
      <c r="J13" s="799">
        <v>48</v>
      </c>
      <c r="K13" s="800"/>
      <c r="L13" s="788">
        <f t="shared" si="0"/>
        <v>1</v>
      </c>
      <c r="M13" s="789"/>
      <c r="N13" s="788">
        <f t="shared" si="1"/>
        <v>1.411764705882353</v>
      </c>
      <c r="O13" s="789"/>
      <c r="Q13" s="564"/>
      <c r="R13" s="564"/>
      <c r="S13" s="565"/>
      <c r="T13" s="565"/>
      <c r="U13" s="564"/>
      <c r="V13" s="564"/>
    </row>
    <row r="14" spans="1:22" ht="27.75" customHeight="1">
      <c r="A14" s="794" t="s">
        <v>166</v>
      </c>
      <c r="B14" s="794"/>
      <c r="C14" s="794"/>
      <c r="D14" s="792">
        <v>584</v>
      </c>
      <c r="E14" s="793"/>
      <c r="F14" s="790">
        <v>544</v>
      </c>
      <c r="G14" s="791"/>
      <c r="H14" s="799">
        <v>490</v>
      </c>
      <c r="I14" s="800"/>
      <c r="J14" s="799">
        <v>475</v>
      </c>
      <c r="K14" s="800"/>
      <c r="L14" s="788">
        <f t="shared" si="0"/>
        <v>0.96938775510204078</v>
      </c>
      <c r="M14" s="789"/>
      <c r="N14" s="788">
        <f t="shared" si="1"/>
        <v>0.87316176470588236</v>
      </c>
      <c r="O14" s="789"/>
    </row>
    <row r="15" spans="1:22" ht="30" customHeight="1">
      <c r="A15" s="820" t="s">
        <v>352</v>
      </c>
      <c r="B15" s="820"/>
      <c r="C15" s="820"/>
      <c r="D15" s="795">
        <f>D16+D17+D18</f>
        <v>141867.70000000001</v>
      </c>
      <c r="E15" s="796"/>
      <c r="F15" s="795">
        <f>F16+F17+F18</f>
        <v>137065.1</v>
      </c>
      <c r="G15" s="796"/>
      <c r="H15" s="803">
        <f>H16+H17+H18</f>
        <v>129932.2</v>
      </c>
      <c r="I15" s="804"/>
      <c r="J15" s="803">
        <f>J16+J17+J18</f>
        <v>132671.70000000001</v>
      </c>
      <c r="K15" s="804"/>
      <c r="L15" s="788">
        <f t="shared" si="0"/>
        <v>1.0210840730781132</v>
      </c>
      <c r="M15" s="789"/>
      <c r="N15" s="788">
        <f t="shared" si="1"/>
        <v>0.96794661806688942</v>
      </c>
      <c r="O15" s="789"/>
    </row>
    <row r="16" spans="1:22" ht="21" customHeight="1">
      <c r="A16" s="794" t="s">
        <v>165</v>
      </c>
      <c r="B16" s="794"/>
      <c r="C16" s="794"/>
      <c r="D16" s="795">
        <v>629.6</v>
      </c>
      <c r="E16" s="796"/>
      <c r="F16" s="795">
        <v>516.1</v>
      </c>
      <c r="G16" s="796"/>
      <c r="H16" s="803">
        <v>629.6</v>
      </c>
      <c r="I16" s="804"/>
      <c r="J16" s="803">
        <v>772.5</v>
      </c>
      <c r="K16" s="804"/>
      <c r="L16" s="788">
        <f t="shared" si="0"/>
        <v>1.2269695044472682</v>
      </c>
      <c r="M16" s="789"/>
      <c r="N16" s="788">
        <f t="shared" si="1"/>
        <v>1.4968029451656655</v>
      </c>
      <c r="O16" s="789"/>
    </row>
    <row r="17" spans="1:15" ht="24" customHeight="1">
      <c r="A17" s="794" t="s">
        <v>178</v>
      </c>
      <c r="B17" s="794"/>
      <c r="C17" s="794"/>
      <c r="D17" s="792">
        <v>11404.5</v>
      </c>
      <c r="E17" s="793"/>
      <c r="F17" s="792">
        <v>11476.7</v>
      </c>
      <c r="G17" s="793"/>
      <c r="H17" s="818">
        <v>14779.7</v>
      </c>
      <c r="I17" s="819"/>
      <c r="J17" s="818">
        <v>14774.4</v>
      </c>
      <c r="K17" s="819"/>
      <c r="L17" s="788">
        <f t="shared" si="0"/>
        <v>0.99964140002841728</v>
      </c>
      <c r="M17" s="789"/>
      <c r="N17" s="788">
        <f t="shared" si="1"/>
        <v>1.2873386949210137</v>
      </c>
      <c r="O17" s="789"/>
    </row>
    <row r="18" spans="1:15" ht="24.75" customHeight="1">
      <c r="A18" s="794" t="s">
        <v>166</v>
      </c>
      <c r="B18" s="794"/>
      <c r="C18" s="794"/>
      <c r="D18" s="795">
        <v>129833.60000000001</v>
      </c>
      <c r="E18" s="796"/>
      <c r="F18" s="795">
        <v>125072.3</v>
      </c>
      <c r="G18" s="796"/>
      <c r="H18" s="821">
        <v>114522.9</v>
      </c>
      <c r="I18" s="822"/>
      <c r="J18" s="821">
        <v>117124.8</v>
      </c>
      <c r="K18" s="822"/>
      <c r="L18" s="788">
        <f t="shared" si="0"/>
        <v>1.0227194735725345</v>
      </c>
      <c r="M18" s="789"/>
      <c r="N18" s="788">
        <f t="shared" si="1"/>
        <v>0.93645675341382539</v>
      </c>
      <c r="O18" s="789"/>
    </row>
    <row r="19" spans="1:15" ht="30.75" customHeight="1">
      <c r="A19" s="820" t="s">
        <v>399</v>
      </c>
      <c r="B19" s="820"/>
      <c r="C19" s="820"/>
      <c r="D19" s="795">
        <f>D15</f>
        <v>141867.70000000001</v>
      </c>
      <c r="E19" s="796"/>
      <c r="F19" s="795">
        <f>F15</f>
        <v>137065.1</v>
      </c>
      <c r="G19" s="796"/>
      <c r="H19" s="803">
        <f>H20+H21+H22</f>
        <v>129932.2</v>
      </c>
      <c r="I19" s="804"/>
      <c r="J19" s="803">
        <f>J20+J21+J22</f>
        <v>132671.70000000001</v>
      </c>
      <c r="K19" s="804"/>
      <c r="L19" s="788">
        <f t="shared" si="0"/>
        <v>1.0210840730781132</v>
      </c>
      <c r="M19" s="789"/>
      <c r="N19" s="788">
        <f t="shared" si="1"/>
        <v>0.96794661806688942</v>
      </c>
      <c r="O19" s="789"/>
    </row>
    <row r="20" spans="1:15" ht="24" customHeight="1">
      <c r="A20" s="794" t="s">
        <v>165</v>
      </c>
      <c r="B20" s="794"/>
      <c r="C20" s="794"/>
      <c r="D20" s="795">
        <f>D16</f>
        <v>629.6</v>
      </c>
      <c r="E20" s="796"/>
      <c r="F20" s="795">
        <f>F16</f>
        <v>516.1</v>
      </c>
      <c r="G20" s="796"/>
      <c r="H20" s="818">
        <f>H16</f>
        <v>629.6</v>
      </c>
      <c r="I20" s="819"/>
      <c r="J20" s="818">
        <f>J16</f>
        <v>772.5</v>
      </c>
      <c r="K20" s="819"/>
      <c r="L20" s="788">
        <f t="shared" si="0"/>
        <v>1.2269695044472682</v>
      </c>
      <c r="M20" s="789"/>
      <c r="N20" s="788">
        <f t="shared" si="1"/>
        <v>1.4968029451656655</v>
      </c>
      <c r="O20" s="789"/>
    </row>
    <row r="21" spans="1:15" ht="28.5" customHeight="1">
      <c r="A21" s="794" t="s">
        <v>178</v>
      </c>
      <c r="B21" s="794"/>
      <c r="C21" s="794"/>
      <c r="D21" s="795">
        <f>D17</f>
        <v>11404.5</v>
      </c>
      <c r="E21" s="796"/>
      <c r="F21" s="795">
        <f>F17</f>
        <v>11476.7</v>
      </c>
      <c r="G21" s="796"/>
      <c r="H21" s="818">
        <f>H17</f>
        <v>14779.7</v>
      </c>
      <c r="I21" s="819"/>
      <c r="J21" s="818">
        <f>J17</f>
        <v>14774.4</v>
      </c>
      <c r="K21" s="819"/>
      <c r="L21" s="788">
        <f t="shared" si="0"/>
        <v>0.99964140002841728</v>
      </c>
      <c r="M21" s="789"/>
      <c r="N21" s="788">
        <f t="shared" si="1"/>
        <v>1.2873386949210137</v>
      </c>
      <c r="O21" s="789"/>
    </row>
    <row r="22" spans="1:15" ht="28.5" customHeight="1">
      <c r="A22" s="794" t="s">
        <v>166</v>
      </c>
      <c r="B22" s="794"/>
      <c r="C22" s="794"/>
      <c r="D22" s="795">
        <f>D18</f>
        <v>129833.60000000001</v>
      </c>
      <c r="E22" s="796"/>
      <c r="F22" s="795">
        <f>F18</f>
        <v>125072.3</v>
      </c>
      <c r="G22" s="796"/>
      <c r="H22" s="818">
        <f>H18</f>
        <v>114522.9</v>
      </c>
      <c r="I22" s="819"/>
      <c r="J22" s="818">
        <f>J18</f>
        <v>117124.8</v>
      </c>
      <c r="K22" s="819"/>
      <c r="L22" s="788">
        <f t="shared" si="0"/>
        <v>1.0227194735725345</v>
      </c>
      <c r="M22" s="789"/>
      <c r="N22" s="788">
        <f t="shared" si="1"/>
        <v>0.93645675341382539</v>
      </c>
      <c r="O22" s="789"/>
    </row>
    <row r="23" spans="1:15" ht="42" customHeight="1">
      <c r="A23" s="820" t="s">
        <v>353</v>
      </c>
      <c r="B23" s="820"/>
      <c r="C23" s="820"/>
      <c r="D23" s="797">
        <v>19038</v>
      </c>
      <c r="E23" s="798"/>
      <c r="F23" s="797">
        <v>19727</v>
      </c>
      <c r="G23" s="798"/>
      <c r="H23" s="814">
        <f>H19/H11/12*1000</f>
        <v>20088.466295609152</v>
      </c>
      <c r="I23" s="815"/>
      <c r="J23" s="814">
        <f>J19/J11/12*1000</f>
        <v>21099.188931297711</v>
      </c>
      <c r="K23" s="815"/>
      <c r="L23" s="788">
        <f t="shared" si="0"/>
        <v>1.0503135789868376</v>
      </c>
      <c r="M23" s="789"/>
      <c r="N23" s="788">
        <f t="shared" si="1"/>
        <v>1.0695589259034679</v>
      </c>
      <c r="O23" s="789"/>
    </row>
    <row r="24" spans="1:15" ht="28.5" customHeight="1">
      <c r="A24" s="794" t="s">
        <v>165</v>
      </c>
      <c r="B24" s="794"/>
      <c r="C24" s="794"/>
      <c r="D24" s="797">
        <v>52467</v>
      </c>
      <c r="E24" s="798"/>
      <c r="F24" s="797">
        <v>43008</v>
      </c>
      <c r="G24" s="798"/>
      <c r="H24" s="814">
        <f>H20/H12/12*1000</f>
        <v>52466.666666666672</v>
      </c>
      <c r="I24" s="815"/>
      <c r="J24" s="814">
        <f>J20/J12/12*1000</f>
        <v>64375</v>
      </c>
      <c r="K24" s="815"/>
      <c r="L24" s="788">
        <f t="shared" si="0"/>
        <v>1.2269695044472679</v>
      </c>
      <c r="M24" s="789"/>
      <c r="N24" s="788">
        <f t="shared" si="1"/>
        <v>1.4968145461309523</v>
      </c>
      <c r="O24" s="789"/>
    </row>
    <row r="25" spans="1:15" ht="27.75" customHeight="1">
      <c r="A25" s="794" t="s">
        <v>178</v>
      </c>
      <c r="B25" s="794"/>
      <c r="C25" s="794"/>
      <c r="D25" s="797">
        <v>26399</v>
      </c>
      <c r="E25" s="798"/>
      <c r="F25" s="797">
        <v>28129</v>
      </c>
      <c r="G25" s="798"/>
      <c r="H25" s="814">
        <f>H21/H13/12*1000</f>
        <v>25659.201388888887</v>
      </c>
      <c r="I25" s="815"/>
      <c r="J25" s="814">
        <f>J21/J13/12*1000</f>
        <v>25650.000000000004</v>
      </c>
      <c r="K25" s="815"/>
      <c r="L25" s="788">
        <f t="shared" si="0"/>
        <v>0.99964140002841761</v>
      </c>
      <c r="M25" s="789"/>
      <c r="N25" s="788">
        <f t="shared" si="1"/>
        <v>0.91187031177788058</v>
      </c>
      <c r="O25" s="789"/>
    </row>
    <row r="26" spans="1:15" ht="27" customHeight="1">
      <c r="A26" s="794" t="s">
        <v>166</v>
      </c>
      <c r="B26" s="794"/>
      <c r="C26" s="794"/>
      <c r="D26" s="797">
        <v>18526</v>
      </c>
      <c r="E26" s="798"/>
      <c r="F26" s="797">
        <v>19159</v>
      </c>
      <c r="G26" s="798"/>
      <c r="H26" s="814">
        <f>H22/H14/12*1000</f>
        <v>19476.683673469386</v>
      </c>
      <c r="I26" s="815"/>
      <c r="J26" s="814">
        <f>J22/J14/12*1000</f>
        <v>20548.21052631579</v>
      </c>
      <c r="K26" s="815"/>
      <c r="L26" s="788">
        <f t="shared" si="0"/>
        <v>1.0550158780011409</v>
      </c>
      <c r="M26" s="789"/>
      <c r="N26" s="788">
        <f t="shared" si="1"/>
        <v>1.0725095530202928</v>
      </c>
      <c r="O26" s="789"/>
    </row>
    <row r="27" spans="1:15" ht="39.75" customHeight="1">
      <c r="A27" s="820" t="s">
        <v>354</v>
      </c>
      <c r="B27" s="820"/>
      <c r="C27" s="820"/>
      <c r="D27" s="797">
        <f>D23</f>
        <v>19038</v>
      </c>
      <c r="E27" s="798"/>
      <c r="F27" s="797">
        <f>F23</f>
        <v>19727</v>
      </c>
      <c r="G27" s="798"/>
      <c r="H27" s="814">
        <f>H15/H11*1000/12</f>
        <v>20088.466295609152</v>
      </c>
      <c r="I27" s="815"/>
      <c r="J27" s="814">
        <f>J15/J11*1000/12</f>
        <v>21099.188931297711</v>
      </c>
      <c r="K27" s="815"/>
      <c r="L27" s="788">
        <f t="shared" si="0"/>
        <v>1.0503135789868376</v>
      </c>
      <c r="M27" s="789"/>
      <c r="N27" s="788">
        <f t="shared" si="1"/>
        <v>1.0695589259034679</v>
      </c>
      <c r="O27" s="789"/>
    </row>
    <row r="28" spans="1:15" ht="26.25" customHeight="1">
      <c r="A28" s="794" t="s">
        <v>165</v>
      </c>
      <c r="B28" s="794"/>
      <c r="C28" s="794"/>
      <c r="D28" s="797">
        <f>D24</f>
        <v>52467</v>
      </c>
      <c r="E28" s="798"/>
      <c r="F28" s="797">
        <f>F24</f>
        <v>43008</v>
      </c>
      <c r="G28" s="798"/>
      <c r="H28" s="814">
        <f>H24</f>
        <v>52466.666666666672</v>
      </c>
      <c r="I28" s="815"/>
      <c r="J28" s="814">
        <f>J24</f>
        <v>64375</v>
      </c>
      <c r="K28" s="815"/>
      <c r="L28" s="788">
        <f t="shared" si="0"/>
        <v>1.2269695044472679</v>
      </c>
      <c r="M28" s="789"/>
      <c r="N28" s="788">
        <f t="shared" si="1"/>
        <v>1.4968145461309523</v>
      </c>
      <c r="O28" s="789"/>
    </row>
    <row r="29" spans="1:15" ht="29.25" customHeight="1">
      <c r="A29" s="794" t="s">
        <v>178</v>
      </c>
      <c r="B29" s="794"/>
      <c r="C29" s="794"/>
      <c r="D29" s="797">
        <f>D25</f>
        <v>26399</v>
      </c>
      <c r="E29" s="798"/>
      <c r="F29" s="797">
        <f>F25</f>
        <v>28129</v>
      </c>
      <c r="G29" s="798"/>
      <c r="H29" s="814">
        <f>H25</f>
        <v>25659.201388888887</v>
      </c>
      <c r="I29" s="815"/>
      <c r="J29" s="814">
        <f>J25</f>
        <v>25650.000000000004</v>
      </c>
      <c r="K29" s="815"/>
      <c r="L29" s="788">
        <f t="shared" si="0"/>
        <v>0.99964140002841761</v>
      </c>
      <c r="M29" s="789"/>
      <c r="N29" s="788">
        <f t="shared" si="1"/>
        <v>0.91187031177788058</v>
      </c>
      <c r="O29" s="789"/>
    </row>
    <row r="30" spans="1:15" ht="26.25" customHeight="1">
      <c r="A30" s="794" t="s">
        <v>166</v>
      </c>
      <c r="B30" s="794"/>
      <c r="C30" s="794"/>
      <c r="D30" s="797">
        <f>D26</f>
        <v>18526</v>
      </c>
      <c r="E30" s="798"/>
      <c r="F30" s="797">
        <f>F26</f>
        <v>19159</v>
      </c>
      <c r="G30" s="798"/>
      <c r="H30" s="814">
        <f>H26</f>
        <v>19476.683673469386</v>
      </c>
      <c r="I30" s="815"/>
      <c r="J30" s="814">
        <f>J26</f>
        <v>20548.21052631579</v>
      </c>
      <c r="K30" s="815"/>
      <c r="L30" s="788">
        <f>J30/H30</f>
        <v>1.0550158780011409</v>
      </c>
      <c r="M30" s="789"/>
      <c r="N30" s="788">
        <f t="shared" si="1"/>
        <v>1.0725095530202928</v>
      </c>
      <c r="O30" s="789"/>
    </row>
    <row r="31" spans="1:15" ht="12" customHeight="1">
      <c r="A31" s="19"/>
      <c r="B31" s="19"/>
      <c r="C31" s="19"/>
      <c r="D31" s="20"/>
      <c r="E31" s="20"/>
      <c r="F31" s="20"/>
      <c r="G31" s="20"/>
      <c r="H31" s="20"/>
      <c r="I31" s="20"/>
      <c r="J31" s="20"/>
      <c r="K31" s="20"/>
      <c r="L31" s="20"/>
      <c r="M31" s="20"/>
      <c r="N31" s="20"/>
      <c r="O31" s="20"/>
    </row>
    <row r="32" spans="1:15" ht="18.75" customHeight="1">
      <c r="A32" s="817" t="s">
        <v>193</v>
      </c>
      <c r="B32" s="817"/>
      <c r="C32" s="817"/>
      <c r="D32" s="817"/>
      <c r="E32" s="817"/>
      <c r="F32" s="817"/>
      <c r="G32" s="817"/>
      <c r="H32" s="817"/>
      <c r="I32" s="817"/>
      <c r="J32" s="817"/>
      <c r="K32" s="817"/>
      <c r="L32" s="817"/>
      <c r="M32" s="817"/>
      <c r="N32" s="817"/>
      <c r="O32" s="817"/>
    </row>
    <row r="33" spans="1:18" ht="9" customHeight="1">
      <c r="A33" s="20"/>
      <c r="B33" s="20"/>
      <c r="C33" s="20"/>
      <c r="D33" s="570"/>
      <c r="E33" s="570"/>
      <c r="F33" s="570"/>
      <c r="G33" s="570"/>
      <c r="H33" s="570"/>
      <c r="I33" s="570"/>
    </row>
    <row r="34" spans="1:18" ht="54.75" customHeight="1">
      <c r="A34" s="816" t="s">
        <v>235</v>
      </c>
      <c r="B34" s="816"/>
      <c r="C34" s="816"/>
      <c r="D34" s="816"/>
      <c r="E34" s="816"/>
      <c r="F34" s="816"/>
      <c r="G34" s="816"/>
      <c r="H34" s="816"/>
      <c r="I34" s="816"/>
      <c r="J34" s="816"/>
    </row>
    <row r="35" spans="1:18" ht="6" customHeight="1">
      <c r="A35" s="15"/>
    </row>
    <row r="36" spans="1:18" ht="46.5" customHeight="1">
      <c r="A36" s="734" t="s">
        <v>236</v>
      </c>
      <c r="B36" s="734"/>
      <c r="C36" s="734"/>
      <c r="D36" s="734" t="s">
        <v>749</v>
      </c>
      <c r="E36" s="734"/>
      <c r="F36" s="734"/>
      <c r="G36" s="734"/>
      <c r="H36" s="734"/>
      <c r="I36" s="516"/>
      <c r="J36" s="827"/>
      <c r="K36" s="827"/>
      <c r="L36" s="827"/>
      <c r="M36" s="827"/>
      <c r="N36" s="827"/>
      <c r="O36" s="827"/>
    </row>
    <row r="37" spans="1:18" ht="153.75" customHeight="1">
      <c r="A37" s="734"/>
      <c r="B37" s="734"/>
      <c r="C37" s="734"/>
      <c r="D37" s="7" t="s">
        <v>349</v>
      </c>
      <c r="E37" s="7" t="s">
        <v>350</v>
      </c>
      <c r="F37" s="7" t="s">
        <v>195</v>
      </c>
      <c r="G37" s="734" t="s">
        <v>194</v>
      </c>
      <c r="H37" s="734"/>
      <c r="I37" s="516"/>
      <c r="J37" s="44"/>
      <c r="K37" s="44"/>
      <c r="L37" s="44"/>
      <c r="M37" s="44"/>
      <c r="N37" s="44"/>
      <c r="O37" s="44"/>
    </row>
    <row r="38" spans="1:18" ht="16.5" customHeight="1">
      <c r="A38" s="770">
        <v>1</v>
      </c>
      <c r="B38" s="770"/>
      <c r="C38" s="770"/>
      <c r="D38" s="92">
        <v>2</v>
      </c>
      <c r="E38" s="92">
        <v>3</v>
      </c>
      <c r="F38" s="92">
        <v>4</v>
      </c>
      <c r="G38" s="823">
        <v>5</v>
      </c>
      <c r="H38" s="823"/>
      <c r="I38" s="516"/>
      <c r="J38" s="115"/>
      <c r="K38" s="115"/>
      <c r="L38" s="115"/>
      <c r="M38" s="115"/>
      <c r="N38" s="115"/>
      <c r="O38" s="115"/>
    </row>
    <row r="39" spans="1:18" ht="38.25" customHeight="1">
      <c r="A39" s="824" t="s">
        <v>566</v>
      </c>
      <c r="B39" s="825"/>
      <c r="C39" s="826"/>
      <c r="D39" s="614" t="s">
        <v>435</v>
      </c>
      <c r="E39" s="627">
        <v>204606</v>
      </c>
      <c r="F39" s="628">
        <v>786.65</v>
      </c>
      <c r="G39" s="848">
        <v>174308.9</v>
      </c>
      <c r="H39" s="849"/>
      <c r="I39" s="516"/>
      <c r="J39" s="113"/>
      <c r="K39" s="113"/>
      <c r="L39" s="116"/>
      <c r="M39" s="113"/>
      <c r="N39" s="113"/>
      <c r="O39" s="116"/>
    </row>
    <row r="40" spans="1:18" ht="34.5" hidden="1" customHeight="1">
      <c r="A40" s="824" t="s">
        <v>470</v>
      </c>
      <c r="B40" s="825"/>
      <c r="C40" s="826"/>
      <c r="D40" s="614" t="s">
        <v>435</v>
      </c>
      <c r="E40" s="627"/>
      <c r="F40" s="613"/>
      <c r="G40" s="832"/>
      <c r="H40" s="833"/>
      <c r="I40" s="516"/>
      <c r="J40" s="113"/>
      <c r="K40" s="113"/>
      <c r="L40" s="116"/>
      <c r="M40" s="113"/>
      <c r="N40" s="113"/>
      <c r="O40" s="116"/>
    </row>
    <row r="41" spans="1:18" ht="24.75" hidden="1" customHeight="1">
      <c r="A41" s="824" t="str">
        <f>'I. Фін результат'!A13</f>
        <v>Надходженя від платних послуг</v>
      </c>
      <c r="B41" s="825"/>
      <c r="C41" s="826"/>
      <c r="D41" s="614" t="s">
        <v>435</v>
      </c>
      <c r="E41" s="627">
        <v>2</v>
      </c>
      <c r="F41" s="613"/>
      <c r="G41" s="832">
        <f>'I. Фін результат'!F13</f>
        <v>800</v>
      </c>
      <c r="H41" s="833"/>
      <c r="I41" s="516"/>
      <c r="J41" s="113"/>
      <c r="K41" s="113"/>
      <c r="L41" s="116"/>
      <c r="M41" s="113"/>
      <c r="N41" s="113"/>
      <c r="O41" s="116"/>
    </row>
    <row r="42" spans="1:18" ht="55.5" customHeight="1">
      <c r="A42" s="829" t="s">
        <v>565</v>
      </c>
      <c r="B42" s="830"/>
      <c r="C42" s="831"/>
      <c r="D42" s="614" t="s">
        <v>435</v>
      </c>
      <c r="E42" s="627">
        <v>42</v>
      </c>
      <c r="F42" s="613">
        <v>6874</v>
      </c>
      <c r="G42" s="832">
        <v>288.8</v>
      </c>
      <c r="H42" s="833"/>
      <c r="I42" s="516"/>
      <c r="J42" s="113"/>
      <c r="K42" s="113"/>
      <c r="L42" s="116"/>
      <c r="M42" s="113"/>
      <c r="N42" s="113"/>
      <c r="O42" s="116"/>
    </row>
    <row r="43" spans="1:18" ht="50.25" hidden="1" customHeight="1">
      <c r="A43" s="829" t="s">
        <v>548</v>
      </c>
      <c r="B43" s="830"/>
      <c r="C43" s="831"/>
      <c r="D43" s="614" t="s">
        <v>435</v>
      </c>
      <c r="E43" s="629"/>
      <c r="F43" s="613"/>
      <c r="G43" s="832"/>
      <c r="H43" s="833"/>
      <c r="I43" s="610"/>
      <c r="J43" s="113"/>
      <c r="K43" s="113"/>
      <c r="L43" s="116"/>
      <c r="M43" s="113"/>
      <c r="N43" s="113"/>
      <c r="O43" s="116"/>
    </row>
    <row r="44" spans="1:18" ht="70.5" customHeight="1">
      <c r="A44" s="829" t="s">
        <v>576</v>
      </c>
      <c r="B44" s="830"/>
      <c r="C44" s="831"/>
      <c r="D44" s="614" t="s">
        <v>435</v>
      </c>
      <c r="E44" s="627">
        <v>5</v>
      </c>
      <c r="F44" s="613" t="s">
        <v>715</v>
      </c>
      <c r="G44" s="832">
        <v>371</v>
      </c>
      <c r="H44" s="833"/>
      <c r="I44" s="610"/>
      <c r="J44" s="113"/>
      <c r="K44" s="113"/>
      <c r="L44" s="116"/>
      <c r="M44" s="113"/>
      <c r="N44" s="113"/>
      <c r="O44" s="116"/>
    </row>
    <row r="45" spans="1:18" ht="51.75" customHeight="1">
      <c r="A45" s="829" t="s">
        <v>510</v>
      </c>
      <c r="B45" s="830"/>
      <c r="C45" s="831"/>
      <c r="D45" s="571"/>
      <c r="E45" s="512"/>
      <c r="F45" s="567"/>
      <c r="G45" s="832">
        <v>800</v>
      </c>
      <c r="H45" s="833"/>
      <c r="I45" s="610"/>
      <c r="J45" s="113"/>
      <c r="K45" s="113"/>
      <c r="L45" s="116"/>
      <c r="M45" s="113"/>
      <c r="N45" s="113"/>
      <c r="O45" s="116"/>
      <c r="P45" s="211"/>
      <c r="R45" s="211"/>
    </row>
    <row r="46" spans="1:18" ht="72" hidden="1" customHeight="1">
      <c r="A46" s="834"/>
      <c r="B46" s="835"/>
      <c r="C46" s="836"/>
      <c r="D46" s="571"/>
      <c r="E46" s="512"/>
      <c r="F46" s="567"/>
      <c r="G46" s="832"/>
      <c r="H46" s="833"/>
      <c r="I46" s="610"/>
      <c r="J46" s="113"/>
      <c r="K46" s="113"/>
      <c r="L46" s="116"/>
      <c r="M46" s="113"/>
      <c r="N46" s="113"/>
      <c r="O46" s="116"/>
      <c r="P46" s="211"/>
      <c r="R46" s="211"/>
    </row>
    <row r="47" spans="1:18" ht="20.100000000000001" customHeight="1">
      <c r="A47" s="734" t="s">
        <v>40</v>
      </c>
      <c r="B47" s="734"/>
      <c r="C47" s="734"/>
      <c r="D47" s="614">
        <f>SUM(D39:D40)</f>
        <v>0</v>
      </c>
      <c r="E47" s="307"/>
      <c r="F47" s="308"/>
      <c r="G47" s="837">
        <f>G39+G42+G44+G45+G46</f>
        <v>175768.69999999998</v>
      </c>
      <c r="H47" s="837"/>
      <c r="I47" s="611"/>
      <c r="J47" s="113"/>
      <c r="K47" s="117"/>
      <c r="L47" s="118"/>
      <c r="M47" s="113"/>
      <c r="N47" s="117"/>
      <c r="O47" s="118"/>
    </row>
    <row r="48" spans="1:18" ht="6.75" customHeight="1">
      <c r="A48" s="17"/>
      <c r="B48" s="18"/>
      <c r="C48" s="18"/>
      <c r="D48" s="572"/>
      <c r="E48" s="572"/>
      <c r="F48" s="573"/>
      <c r="G48" s="573"/>
      <c r="H48" s="516"/>
      <c r="I48" s="516"/>
      <c r="J48" s="5"/>
      <c r="K48" s="5"/>
      <c r="L48" s="5"/>
      <c r="M48" s="5"/>
      <c r="N48" s="5"/>
      <c r="O48" s="5"/>
    </row>
    <row r="49" spans="1:15" ht="35.25" customHeight="1">
      <c r="A49" s="828" t="s">
        <v>237</v>
      </c>
      <c r="B49" s="828"/>
      <c r="C49" s="828"/>
      <c r="D49" s="828"/>
      <c r="E49" s="828"/>
      <c r="F49" s="828"/>
      <c r="G49" s="828"/>
      <c r="H49" s="828"/>
      <c r="I49" s="828"/>
      <c r="J49" s="828"/>
      <c r="K49" s="828"/>
      <c r="L49" s="828"/>
      <c r="M49" s="828"/>
      <c r="N49" s="828"/>
      <c r="O49" s="828"/>
    </row>
    <row r="50" spans="1:15" ht="10.5" customHeight="1">
      <c r="A50" s="15"/>
    </row>
    <row r="51" spans="1:15" ht="63.95" customHeight="1">
      <c r="A51" s="7" t="s">
        <v>89</v>
      </c>
      <c r="B51" s="734" t="s">
        <v>54</v>
      </c>
      <c r="C51" s="734"/>
      <c r="D51" s="734" t="s">
        <v>49</v>
      </c>
      <c r="E51" s="734"/>
      <c r="F51" s="734" t="s">
        <v>50</v>
      </c>
      <c r="G51" s="734"/>
      <c r="H51" s="734" t="s">
        <v>196</v>
      </c>
      <c r="I51" s="734"/>
      <c r="J51" s="734"/>
      <c r="K51" s="719" t="s">
        <v>67</v>
      </c>
      <c r="L51" s="713"/>
      <c r="M51" s="719" t="s">
        <v>27</v>
      </c>
      <c r="N51" s="712"/>
      <c r="O51" s="713"/>
    </row>
    <row r="52" spans="1:15" ht="18" customHeight="1">
      <c r="A52" s="6">
        <v>1</v>
      </c>
      <c r="B52" s="732">
        <v>2</v>
      </c>
      <c r="C52" s="732"/>
      <c r="D52" s="732">
        <v>3</v>
      </c>
      <c r="E52" s="732"/>
      <c r="F52" s="838">
        <v>4</v>
      </c>
      <c r="G52" s="838"/>
      <c r="H52" s="732">
        <v>5</v>
      </c>
      <c r="I52" s="732"/>
      <c r="J52" s="732"/>
      <c r="K52" s="732">
        <v>6</v>
      </c>
      <c r="L52" s="732"/>
      <c r="M52" s="839">
        <v>7</v>
      </c>
      <c r="N52" s="723"/>
      <c r="O52" s="724"/>
    </row>
    <row r="53" spans="1:15" ht="20.100000000000001" customHeight="1">
      <c r="A53" s="8"/>
      <c r="B53" s="840"/>
      <c r="C53" s="840"/>
      <c r="D53" s="841"/>
      <c r="E53" s="841"/>
      <c r="F53" s="842"/>
      <c r="G53" s="842"/>
      <c r="H53" s="734"/>
      <c r="I53" s="734"/>
      <c r="J53" s="734"/>
      <c r="K53" s="814"/>
      <c r="L53" s="815"/>
      <c r="M53" s="840"/>
      <c r="N53" s="840"/>
      <c r="O53" s="840"/>
    </row>
    <row r="54" spans="1:15" ht="20.100000000000001" customHeight="1">
      <c r="A54" s="8" t="s">
        <v>40</v>
      </c>
      <c r="B54" s="734" t="s">
        <v>28</v>
      </c>
      <c r="C54" s="734"/>
      <c r="D54" s="734" t="s">
        <v>28</v>
      </c>
      <c r="E54" s="734"/>
      <c r="F54" s="734" t="s">
        <v>28</v>
      </c>
      <c r="G54" s="734"/>
      <c r="H54" s="734"/>
      <c r="I54" s="734"/>
      <c r="J54" s="734"/>
      <c r="K54" s="814">
        <f>SUM(K53:L53)</f>
        <v>0</v>
      </c>
      <c r="L54" s="815"/>
      <c r="M54" s="840"/>
      <c r="N54" s="840"/>
      <c r="O54" s="840"/>
    </row>
    <row r="55" spans="1:15" ht="14.25" customHeight="1">
      <c r="A55" s="11"/>
      <c r="B55" s="4"/>
      <c r="C55" s="4"/>
      <c r="D55" s="4"/>
      <c r="E55" s="4"/>
      <c r="F55" s="4"/>
      <c r="G55" s="4"/>
      <c r="H55" s="4"/>
      <c r="I55" s="4"/>
      <c r="J55" s="4"/>
    </row>
    <row r="56" spans="1:15" ht="23.25" customHeight="1">
      <c r="A56" s="828" t="s">
        <v>238</v>
      </c>
      <c r="B56" s="828"/>
      <c r="C56" s="828"/>
      <c r="D56" s="828"/>
      <c r="E56" s="828"/>
      <c r="F56" s="828"/>
      <c r="G56" s="828"/>
      <c r="H56" s="828"/>
      <c r="I56" s="828"/>
      <c r="J56" s="828"/>
      <c r="K56" s="828"/>
      <c r="L56" s="828"/>
      <c r="M56" s="828"/>
      <c r="N56" s="828"/>
      <c r="O56" s="828"/>
    </row>
    <row r="57" spans="1:15" ht="5.25" customHeight="1">
      <c r="A57" s="5"/>
      <c r="B57" s="14"/>
      <c r="C57" s="5"/>
      <c r="D57" s="5"/>
      <c r="E57" s="5"/>
      <c r="F57" s="5"/>
      <c r="G57" s="5"/>
      <c r="H57" s="5"/>
      <c r="I57" s="30"/>
    </row>
    <row r="58" spans="1:15" ht="48" customHeight="1">
      <c r="A58" s="734" t="s">
        <v>48</v>
      </c>
      <c r="B58" s="734"/>
      <c r="C58" s="734"/>
      <c r="D58" s="734" t="s">
        <v>68</v>
      </c>
      <c r="E58" s="734"/>
      <c r="F58" s="734"/>
      <c r="G58" s="734" t="s">
        <v>217</v>
      </c>
      <c r="H58" s="734"/>
      <c r="I58" s="734"/>
      <c r="J58" s="734" t="s">
        <v>216</v>
      </c>
      <c r="K58" s="734"/>
      <c r="L58" s="734"/>
      <c r="M58" s="734" t="s">
        <v>69</v>
      </c>
      <c r="N58" s="734"/>
      <c r="O58" s="734"/>
    </row>
    <row r="59" spans="1:15" ht="18" customHeight="1">
      <c r="A59" s="734">
        <v>1</v>
      </c>
      <c r="B59" s="734"/>
      <c r="C59" s="734"/>
      <c r="D59" s="734">
        <v>2</v>
      </c>
      <c r="E59" s="734"/>
      <c r="F59" s="734"/>
      <c r="G59" s="734">
        <v>3</v>
      </c>
      <c r="H59" s="734"/>
      <c r="I59" s="734"/>
      <c r="J59" s="732">
        <v>4</v>
      </c>
      <c r="K59" s="732"/>
      <c r="L59" s="732"/>
      <c r="M59" s="732">
        <v>5</v>
      </c>
      <c r="N59" s="732"/>
      <c r="O59" s="732"/>
    </row>
    <row r="60" spans="1:15" ht="20.100000000000001" customHeight="1">
      <c r="A60" s="794" t="s">
        <v>197</v>
      </c>
      <c r="B60" s="794"/>
      <c r="C60" s="794"/>
      <c r="D60" s="841"/>
      <c r="E60" s="841"/>
      <c r="F60" s="841"/>
      <c r="G60" s="841"/>
      <c r="H60" s="841"/>
      <c r="I60" s="841"/>
      <c r="J60" s="841"/>
      <c r="K60" s="841"/>
      <c r="L60" s="841"/>
      <c r="M60" s="841"/>
      <c r="N60" s="841"/>
      <c r="O60" s="841"/>
    </row>
    <row r="61" spans="1:15" ht="15.75" customHeight="1">
      <c r="A61" s="844" t="s">
        <v>83</v>
      </c>
      <c r="B61" s="844"/>
      <c r="C61" s="844"/>
      <c r="D61" s="841"/>
      <c r="E61" s="841"/>
      <c r="F61" s="841"/>
      <c r="G61" s="841"/>
      <c r="H61" s="841"/>
      <c r="I61" s="841"/>
      <c r="J61" s="841"/>
      <c r="K61" s="841"/>
      <c r="L61" s="841"/>
      <c r="M61" s="841"/>
      <c r="N61" s="841"/>
      <c r="O61" s="841"/>
    </row>
    <row r="62" spans="1:15" ht="20.100000000000001" customHeight="1">
      <c r="A62" s="794"/>
      <c r="B62" s="794"/>
      <c r="C62" s="794"/>
      <c r="D62" s="814"/>
      <c r="E62" s="843"/>
      <c r="F62" s="815"/>
      <c r="G62" s="814"/>
      <c r="H62" s="843"/>
      <c r="I62" s="815"/>
      <c r="J62" s="814"/>
      <c r="K62" s="843"/>
      <c r="L62" s="815"/>
      <c r="M62" s="814"/>
      <c r="N62" s="843"/>
      <c r="O62" s="815"/>
    </row>
    <row r="63" spans="1:15" ht="20.100000000000001" customHeight="1">
      <c r="A63" s="794" t="s">
        <v>198</v>
      </c>
      <c r="B63" s="794"/>
      <c r="C63" s="794"/>
      <c r="D63" s="841"/>
      <c r="E63" s="841"/>
      <c r="F63" s="841"/>
      <c r="G63" s="841"/>
      <c r="H63" s="841"/>
      <c r="I63" s="841"/>
      <c r="J63" s="841"/>
      <c r="K63" s="841"/>
      <c r="L63" s="841"/>
      <c r="M63" s="841"/>
      <c r="N63" s="841"/>
      <c r="O63" s="841"/>
    </row>
    <row r="64" spans="1:15" ht="15.75" customHeight="1">
      <c r="A64" s="844" t="s">
        <v>228</v>
      </c>
      <c r="B64" s="844"/>
      <c r="C64" s="844"/>
      <c r="D64" s="841"/>
      <c r="E64" s="841"/>
      <c r="F64" s="841"/>
      <c r="G64" s="841"/>
      <c r="H64" s="841"/>
      <c r="I64" s="841"/>
      <c r="J64" s="841"/>
      <c r="K64" s="841"/>
      <c r="L64" s="841"/>
      <c r="M64" s="841"/>
      <c r="N64" s="841"/>
      <c r="O64" s="841"/>
    </row>
    <row r="65" spans="1:15" ht="20.100000000000001" customHeight="1">
      <c r="A65" s="794"/>
      <c r="B65" s="794"/>
      <c r="C65" s="794"/>
      <c r="D65" s="814"/>
      <c r="E65" s="843"/>
      <c r="F65" s="815"/>
      <c r="G65" s="814"/>
      <c r="H65" s="843"/>
      <c r="I65" s="815"/>
      <c r="J65" s="814"/>
      <c r="K65" s="843"/>
      <c r="L65" s="815"/>
      <c r="M65" s="814"/>
      <c r="N65" s="843"/>
      <c r="O65" s="815"/>
    </row>
    <row r="66" spans="1:15" ht="20.100000000000001" customHeight="1">
      <c r="A66" s="794" t="s">
        <v>199</v>
      </c>
      <c r="B66" s="794"/>
      <c r="C66" s="794"/>
      <c r="D66" s="841"/>
      <c r="E66" s="841"/>
      <c r="F66" s="841"/>
      <c r="G66" s="841"/>
      <c r="H66" s="841"/>
      <c r="I66" s="841"/>
      <c r="J66" s="841"/>
      <c r="K66" s="841"/>
      <c r="L66" s="841"/>
      <c r="M66" s="841"/>
      <c r="N66" s="841"/>
      <c r="O66" s="841"/>
    </row>
    <row r="67" spans="1:15" ht="15.75" customHeight="1">
      <c r="A67" s="844" t="s">
        <v>83</v>
      </c>
      <c r="B67" s="844"/>
      <c r="C67" s="844"/>
      <c r="D67" s="841"/>
      <c r="E67" s="841"/>
      <c r="F67" s="841"/>
      <c r="G67" s="841"/>
      <c r="H67" s="841"/>
      <c r="I67" s="841"/>
      <c r="J67" s="841"/>
      <c r="K67" s="841"/>
      <c r="L67" s="841"/>
      <c r="M67" s="841"/>
      <c r="N67" s="841"/>
      <c r="O67" s="841"/>
    </row>
    <row r="68" spans="1:15" ht="8.25" customHeight="1">
      <c r="A68" s="846"/>
      <c r="B68" s="716"/>
      <c r="C68" s="847"/>
      <c r="D68" s="841"/>
      <c r="E68" s="841"/>
      <c r="F68" s="841"/>
      <c r="G68" s="841"/>
      <c r="H68" s="841"/>
      <c r="I68" s="841"/>
      <c r="J68" s="841"/>
      <c r="K68" s="841"/>
      <c r="L68" s="841"/>
      <c r="M68" s="841"/>
      <c r="N68" s="841"/>
      <c r="O68" s="841"/>
    </row>
    <row r="69" spans="1:15" ht="20.100000000000001" customHeight="1">
      <c r="A69" s="846" t="s">
        <v>40</v>
      </c>
      <c r="B69" s="716"/>
      <c r="C69" s="847"/>
      <c r="D69" s="845"/>
      <c r="E69" s="845"/>
      <c r="F69" s="845"/>
      <c r="G69" s="845"/>
      <c r="H69" s="845"/>
      <c r="I69" s="845"/>
      <c r="J69" s="841"/>
      <c r="K69" s="841"/>
      <c r="L69" s="841"/>
      <c r="M69" s="841"/>
      <c r="N69" s="841"/>
      <c r="O69" s="841"/>
    </row>
    <row r="70" spans="1:15" ht="37.5" customHeight="1">
      <c r="C70" s="25"/>
      <c r="D70" s="574"/>
      <c r="E70" s="574"/>
    </row>
    <row r="71" spans="1:15">
      <c r="C71" s="25"/>
      <c r="D71" s="574"/>
      <c r="E71" s="574"/>
    </row>
    <row r="72" spans="1:15">
      <c r="C72" s="25"/>
      <c r="D72" s="574"/>
      <c r="E72" s="574"/>
    </row>
    <row r="73" spans="1:15">
      <c r="C73" s="25"/>
      <c r="D73" s="574"/>
      <c r="E73" s="574"/>
    </row>
    <row r="74" spans="1:15">
      <c r="C74" s="25"/>
      <c r="D74" s="574"/>
      <c r="E74" s="574"/>
    </row>
    <row r="75" spans="1:15">
      <c r="C75" s="25"/>
      <c r="D75" s="574"/>
      <c r="E75" s="574"/>
    </row>
    <row r="76" spans="1:15">
      <c r="C76" s="25"/>
      <c r="D76" s="574"/>
      <c r="E76" s="574"/>
    </row>
    <row r="77" spans="1:15">
      <c r="C77" s="25"/>
      <c r="D77" s="574"/>
      <c r="E77" s="574"/>
    </row>
    <row r="78" spans="1:15">
      <c r="C78" s="25"/>
      <c r="D78" s="574"/>
      <c r="E78" s="574"/>
    </row>
    <row r="79" spans="1:15">
      <c r="C79" s="25"/>
      <c r="D79" s="574"/>
      <c r="E79" s="574"/>
    </row>
    <row r="80" spans="1:15">
      <c r="C80" s="25"/>
      <c r="D80" s="574"/>
      <c r="E80" s="574"/>
    </row>
    <row r="81" spans="3:5">
      <c r="C81" s="25"/>
      <c r="D81" s="574"/>
      <c r="E81" s="574"/>
    </row>
    <row r="82" spans="3:5">
      <c r="C82" s="25"/>
      <c r="D82" s="574"/>
      <c r="E82" s="574"/>
    </row>
    <row r="83" spans="3:5">
      <c r="C83" s="25"/>
      <c r="D83" s="574"/>
      <c r="E83" s="574"/>
    </row>
  </sheetData>
  <mergeCells count="273">
    <mergeCell ref="A30:C30"/>
    <mergeCell ref="D30:E30"/>
    <mergeCell ref="F30:G30"/>
    <mergeCell ref="H30:I30"/>
    <mergeCell ref="J30:K30"/>
    <mergeCell ref="L30:M30"/>
    <mergeCell ref="G39:H39"/>
    <mergeCell ref="G40:H40"/>
    <mergeCell ref="A43:C43"/>
    <mergeCell ref="G43:H43"/>
    <mergeCell ref="A42:C42"/>
    <mergeCell ref="A41:C41"/>
    <mergeCell ref="G41:H41"/>
    <mergeCell ref="A38:C38"/>
    <mergeCell ref="A39:C39"/>
    <mergeCell ref="A27:C27"/>
    <mergeCell ref="A26:C26"/>
    <mergeCell ref="D26:E26"/>
    <mergeCell ref="L29:M29"/>
    <mergeCell ref="N29:O29"/>
    <mergeCell ref="F26:G26"/>
    <mergeCell ref="H26:I26"/>
    <mergeCell ref="H29:I29"/>
    <mergeCell ref="F28:G28"/>
    <mergeCell ref="J28:K28"/>
    <mergeCell ref="N28:O28"/>
    <mergeCell ref="D27:E27"/>
    <mergeCell ref="F27:G27"/>
    <mergeCell ref="H27:I27"/>
    <mergeCell ref="J27:K27"/>
    <mergeCell ref="L28:M28"/>
    <mergeCell ref="L27:M27"/>
    <mergeCell ref="A28:C28"/>
    <mergeCell ref="D28:E28"/>
    <mergeCell ref="A29:C29"/>
    <mergeCell ref="D29:E29"/>
    <mergeCell ref="F29:G29"/>
    <mergeCell ref="J29:K29"/>
    <mergeCell ref="N27:O27"/>
    <mergeCell ref="A25:C25"/>
    <mergeCell ref="D25:E25"/>
    <mergeCell ref="F25:G25"/>
    <mergeCell ref="H25:I25"/>
    <mergeCell ref="J25:K25"/>
    <mergeCell ref="L25:M25"/>
    <mergeCell ref="N25:O25"/>
    <mergeCell ref="A24:C24"/>
    <mergeCell ref="D24:E24"/>
    <mergeCell ref="L24:M24"/>
    <mergeCell ref="F24:G24"/>
    <mergeCell ref="H24:I24"/>
    <mergeCell ref="J24:K24"/>
    <mergeCell ref="N24:O24"/>
    <mergeCell ref="A22:C22"/>
    <mergeCell ref="D22:E22"/>
    <mergeCell ref="F22:G22"/>
    <mergeCell ref="H22:I22"/>
    <mergeCell ref="J22:K22"/>
    <mergeCell ref="L22:M22"/>
    <mergeCell ref="N22:O22"/>
    <mergeCell ref="A23:C23"/>
    <mergeCell ref="D23:E23"/>
    <mergeCell ref="L23:M23"/>
    <mergeCell ref="J23:K23"/>
    <mergeCell ref="N23:O23"/>
    <mergeCell ref="G69:I69"/>
    <mergeCell ref="J69:L69"/>
    <mergeCell ref="M68:O68"/>
    <mergeCell ref="J67:L67"/>
    <mergeCell ref="M69:O69"/>
    <mergeCell ref="M67:O67"/>
    <mergeCell ref="A69:C69"/>
    <mergeCell ref="D69:F69"/>
    <mergeCell ref="F16:G16"/>
    <mergeCell ref="H16:I16"/>
    <mergeCell ref="F23:G23"/>
    <mergeCell ref="H23:I23"/>
    <mergeCell ref="H28:I28"/>
    <mergeCell ref="A67:C67"/>
    <mergeCell ref="A68:C68"/>
    <mergeCell ref="D68:F68"/>
    <mergeCell ref="J17:K17"/>
    <mergeCell ref="H20:I20"/>
    <mergeCell ref="J20:K20"/>
    <mergeCell ref="F19:G19"/>
    <mergeCell ref="H19:I19"/>
    <mergeCell ref="N20:O20"/>
    <mergeCell ref="L17:M17"/>
    <mergeCell ref="N17:O17"/>
    <mergeCell ref="J68:L68"/>
    <mergeCell ref="M66:O66"/>
    <mergeCell ref="J64:L64"/>
    <mergeCell ref="M64:O64"/>
    <mergeCell ref="M65:O65"/>
    <mergeCell ref="J65:L65"/>
    <mergeCell ref="G68:I68"/>
    <mergeCell ref="G67:I67"/>
    <mergeCell ref="D67:F67"/>
    <mergeCell ref="A66:C66"/>
    <mergeCell ref="D66:F66"/>
    <mergeCell ref="G66:I66"/>
    <mergeCell ref="G65:I65"/>
    <mergeCell ref="A65:C65"/>
    <mergeCell ref="D65:F65"/>
    <mergeCell ref="A60:C60"/>
    <mergeCell ref="D60:F60"/>
    <mergeCell ref="J62:L62"/>
    <mergeCell ref="G60:I60"/>
    <mergeCell ref="A61:C61"/>
    <mergeCell ref="D61:F61"/>
    <mergeCell ref="G61:I61"/>
    <mergeCell ref="J60:L60"/>
    <mergeCell ref="A64:C64"/>
    <mergeCell ref="D64:F64"/>
    <mergeCell ref="G64:I64"/>
    <mergeCell ref="A62:C62"/>
    <mergeCell ref="D62:F62"/>
    <mergeCell ref="D63:F63"/>
    <mergeCell ref="A63:C63"/>
    <mergeCell ref="J66:L66"/>
    <mergeCell ref="M63:O63"/>
    <mergeCell ref="J63:L63"/>
    <mergeCell ref="J61:L61"/>
    <mergeCell ref="M61:O61"/>
    <mergeCell ref="M62:O62"/>
    <mergeCell ref="G63:I63"/>
    <mergeCell ref="G62:I62"/>
    <mergeCell ref="M60:O60"/>
    <mergeCell ref="J59:L59"/>
    <mergeCell ref="G59:I59"/>
    <mergeCell ref="B54:C54"/>
    <mergeCell ref="D54:E54"/>
    <mergeCell ref="F54:G54"/>
    <mergeCell ref="B53:C53"/>
    <mergeCell ref="D53:E53"/>
    <mergeCell ref="F53:G53"/>
    <mergeCell ref="D59:F59"/>
    <mergeCell ref="A56:O56"/>
    <mergeCell ref="A58:C58"/>
    <mergeCell ref="D58:F58"/>
    <mergeCell ref="G58:I58"/>
    <mergeCell ref="J58:L58"/>
    <mergeCell ref="M59:O59"/>
    <mergeCell ref="A59:C59"/>
    <mergeCell ref="K53:L53"/>
    <mergeCell ref="M53:O53"/>
    <mergeCell ref="K54:L54"/>
    <mergeCell ref="M54:O54"/>
    <mergeCell ref="M58:O58"/>
    <mergeCell ref="H53:J53"/>
    <mergeCell ref="H54:J54"/>
    <mergeCell ref="B51:C51"/>
    <mergeCell ref="D51:E51"/>
    <mergeCell ref="F51:G51"/>
    <mergeCell ref="H51:J51"/>
    <mergeCell ref="K51:L51"/>
    <mergeCell ref="M51:O51"/>
    <mergeCell ref="B52:C52"/>
    <mergeCell ref="F52:G52"/>
    <mergeCell ref="H52:J52"/>
    <mergeCell ref="D52:E52"/>
    <mergeCell ref="K52:L52"/>
    <mergeCell ref="M52:O52"/>
    <mergeCell ref="A49:O49"/>
    <mergeCell ref="A44:C44"/>
    <mergeCell ref="G42:H42"/>
    <mergeCell ref="A45:C45"/>
    <mergeCell ref="A46:C46"/>
    <mergeCell ref="G46:H46"/>
    <mergeCell ref="G44:H44"/>
    <mergeCell ref="G45:H45"/>
    <mergeCell ref="G47:H47"/>
    <mergeCell ref="J19:K19"/>
    <mergeCell ref="F20:G20"/>
    <mergeCell ref="F18:G18"/>
    <mergeCell ref="H18:I18"/>
    <mergeCell ref="J18:K18"/>
    <mergeCell ref="J16:K16"/>
    <mergeCell ref="N19:O19"/>
    <mergeCell ref="L18:M18"/>
    <mergeCell ref="A47:C47"/>
    <mergeCell ref="G38:H38"/>
    <mergeCell ref="A40:C40"/>
    <mergeCell ref="J36:L36"/>
    <mergeCell ref="A36:C37"/>
    <mergeCell ref="D36:H36"/>
    <mergeCell ref="M36:O36"/>
    <mergeCell ref="A21:C21"/>
    <mergeCell ref="D21:E21"/>
    <mergeCell ref="F21:G21"/>
    <mergeCell ref="H21:I21"/>
    <mergeCell ref="J21:K21"/>
    <mergeCell ref="L21:M21"/>
    <mergeCell ref="N21:O21"/>
    <mergeCell ref="A20:C20"/>
    <mergeCell ref="D20:E20"/>
    <mergeCell ref="J26:K26"/>
    <mergeCell ref="L26:M26"/>
    <mergeCell ref="N26:O26"/>
    <mergeCell ref="A34:J34"/>
    <mergeCell ref="A32:O32"/>
    <mergeCell ref="G37:H37"/>
    <mergeCell ref="N13:O13"/>
    <mergeCell ref="L13:M13"/>
    <mergeCell ref="J15:K15"/>
    <mergeCell ref="J14:K14"/>
    <mergeCell ref="H13:I13"/>
    <mergeCell ref="F13:G13"/>
    <mergeCell ref="J13:K13"/>
    <mergeCell ref="N18:O18"/>
    <mergeCell ref="H17:I17"/>
    <mergeCell ref="N30:O30"/>
    <mergeCell ref="L20:M20"/>
    <mergeCell ref="L19:M19"/>
    <mergeCell ref="A15:C15"/>
    <mergeCell ref="A13:C13"/>
    <mergeCell ref="A19:C19"/>
    <mergeCell ref="D19:E19"/>
    <mergeCell ref="A17:C17"/>
    <mergeCell ref="A18:C18"/>
    <mergeCell ref="A1:O1"/>
    <mergeCell ref="A2:O2"/>
    <mergeCell ref="A3:O3"/>
    <mergeCell ref="D9:E9"/>
    <mergeCell ref="F9:G9"/>
    <mergeCell ref="A9:C9"/>
    <mergeCell ref="A4:O4"/>
    <mergeCell ref="A7:O7"/>
    <mergeCell ref="F10:G10"/>
    <mergeCell ref="N9:O9"/>
    <mergeCell ref="H10:I10"/>
    <mergeCell ref="J10:K10"/>
    <mergeCell ref="L9:M9"/>
    <mergeCell ref="L10:M10"/>
    <mergeCell ref="J9:K9"/>
    <mergeCell ref="H9:I9"/>
    <mergeCell ref="A5:O5"/>
    <mergeCell ref="J11:K11"/>
    <mergeCell ref="J12:K12"/>
    <mergeCell ref="F11:G11"/>
    <mergeCell ref="A10:C10"/>
    <mergeCell ref="N10:O10"/>
    <mergeCell ref="H11:I11"/>
    <mergeCell ref="D10:E10"/>
    <mergeCell ref="D11:E11"/>
    <mergeCell ref="A11:C11"/>
    <mergeCell ref="N11:O11"/>
    <mergeCell ref="A12:C12"/>
    <mergeCell ref="N12:O12"/>
    <mergeCell ref="F12:G12"/>
    <mergeCell ref="L11:M11"/>
    <mergeCell ref="D12:E12"/>
    <mergeCell ref="L12:M12"/>
    <mergeCell ref="D18:E18"/>
    <mergeCell ref="D15:E15"/>
    <mergeCell ref="D16:E16"/>
    <mergeCell ref="D13:E13"/>
    <mergeCell ref="H14:I14"/>
    <mergeCell ref="L14:M14"/>
    <mergeCell ref="D17:E17"/>
    <mergeCell ref="F17:G17"/>
    <mergeCell ref="H12:I12"/>
    <mergeCell ref="F15:G15"/>
    <mergeCell ref="H15:I15"/>
    <mergeCell ref="N14:O14"/>
    <mergeCell ref="F14:G14"/>
    <mergeCell ref="N15:O15"/>
    <mergeCell ref="L16:M16"/>
    <mergeCell ref="N16:O16"/>
    <mergeCell ref="L15:M15"/>
    <mergeCell ref="D14:E14"/>
    <mergeCell ref="A14:C14"/>
    <mergeCell ref="A16:C16"/>
  </mergeCells>
  <phoneticPr fontId="4" type="noConversion"/>
  <pageMargins left="0.19685039370078741" right="0" top="0.59055118110236227" bottom="0" header="0.27559055118110237" footer="0.15748031496062992"/>
  <pageSetup paperSize="9" scale="50" orientation="landscape" verticalDpi="1200" r:id="rId1"/>
  <headerFooter alignWithMargins="0"/>
  <rowBreaks count="1" manualBreakCount="1">
    <brk id="33" max="16383" man="1"/>
  </rowBreaks>
  <ignoredErrors>
    <ignoredError sqref="D47:F47" formulaRange="1"/>
  </ignoredErrors>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pageSetUpPr fitToPage="1"/>
  </sheetPr>
  <dimension ref="A1:R516"/>
  <sheetViews>
    <sheetView view="pageBreakPreview" topLeftCell="A442" zoomScaleNormal="136" zoomScaleSheetLayoutView="100" workbookViewId="0">
      <selection activeCell="V453" sqref="V453"/>
    </sheetView>
  </sheetViews>
  <sheetFormatPr defaultRowHeight="12.75"/>
  <cols>
    <col min="1" max="1" width="5.5703125" customWidth="1"/>
    <col min="2" max="2" width="45" customWidth="1"/>
    <col min="3" max="3" width="6.42578125" customWidth="1"/>
    <col min="4" max="4" width="6.140625" customWidth="1"/>
    <col min="5" max="5" width="6.42578125" customWidth="1"/>
    <col min="6" max="6" width="8" customWidth="1"/>
    <col min="7" max="7" width="8.5703125" customWidth="1"/>
    <col min="8" max="8" width="5.7109375" customWidth="1"/>
    <col min="9" max="9" width="9.5703125" customWidth="1"/>
    <col min="10" max="10" width="5.7109375" customWidth="1"/>
    <col min="11" max="11" width="9.7109375" customWidth="1"/>
    <col min="12" max="12" width="5.7109375" customWidth="1"/>
    <col min="13" max="13" width="7.7109375" customWidth="1"/>
    <col min="14" max="14" width="9.5703125" customWidth="1"/>
    <col min="15" max="15" width="11" customWidth="1"/>
    <col min="16" max="16" width="11.85546875" hidden="1" customWidth="1"/>
    <col min="17" max="17" width="13.42578125" customWidth="1"/>
  </cols>
  <sheetData>
    <row r="1" spans="1:16" ht="15.75">
      <c r="A1" s="902" t="s">
        <v>610</v>
      </c>
      <c r="B1" s="903"/>
      <c r="C1" s="903"/>
      <c r="D1" s="903"/>
      <c r="E1" s="903"/>
      <c r="F1" s="903"/>
      <c r="G1" s="903"/>
      <c r="H1" s="903"/>
      <c r="I1" s="903"/>
      <c r="J1" s="903"/>
      <c r="K1" s="903"/>
      <c r="L1" s="903"/>
      <c r="M1" s="903"/>
      <c r="N1" s="903"/>
      <c r="O1" s="903"/>
      <c r="P1" s="903"/>
    </row>
    <row r="2" spans="1:16" ht="18.75">
      <c r="A2" s="902" t="s">
        <v>773</v>
      </c>
      <c r="B2" s="902"/>
      <c r="C2" s="902"/>
      <c r="D2" s="902"/>
      <c r="E2" s="902"/>
      <c r="F2" s="902"/>
      <c r="G2" s="902"/>
      <c r="H2" s="902"/>
      <c r="I2" s="902"/>
      <c r="J2" s="902"/>
      <c r="K2" s="902"/>
      <c r="L2" s="902"/>
      <c r="M2" s="902"/>
      <c r="N2" s="902"/>
      <c r="O2" s="902"/>
      <c r="P2" s="450"/>
    </row>
    <row r="3" spans="1:16" ht="15">
      <c r="A3" s="904" t="s">
        <v>611</v>
      </c>
      <c r="B3" s="905"/>
      <c r="C3" s="905"/>
      <c r="D3" s="905"/>
      <c r="E3" s="905"/>
      <c r="F3" s="905"/>
      <c r="G3" s="905"/>
      <c r="H3" s="905"/>
      <c r="I3" s="905"/>
      <c r="J3" s="905"/>
      <c r="K3" s="905"/>
      <c r="L3" s="905"/>
      <c r="M3" s="905"/>
      <c r="N3" s="905"/>
      <c r="O3" s="905"/>
      <c r="P3" s="905"/>
    </row>
    <row r="4" spans="1:16" ht="15.75" thickBot="1">
      <c r="A4" s="906"/>
      <c r="B4" s="907"/>
      <c r="C4" s="907"/>
      <c r="D4" s="907"/>
      <c r="E4" s="907"/>
      <c r="F4" s="907"/>
      <c r="G4" s="907"/>
      <c r="H4" s="907"/>
      <c r="I4" s="907"/>
      <c r="J4" s="907"/>
      <c r="K4" s="907"/>
      <c r="L4" s="907"/>
      <c r="M4" s="907"/>
      <c r="N4" s="907"/>
      <c r="O4" s="907"/>
      <c r="P4" s="907"/>
    </row>
    <row r="5" spans="1:16" ht="15.75" thickBot="1">
      <c r="A5" s="908" t="s">
        <v>612</v>
      </c>
      <c r="B5" s="909"/>
      <c r="C5" s="909"/>
      <c r="D5" s="909"/>
      <c r="E5" s="909"/>
      <c r="F5" s="909"/>
      <c r="G5" s="909"/>
      <c r="H5" s="909"/>
      <c r="I5" s="909"/>
      <c r="J5" s="909"/>
      <c r="K5" s="909"/>
      <c r="L5" s="909"/>
      <c r="M5" s="909"/>
      <c r="N5" s="909"/>
      <c r="O5" s="909"/>
      <c r="P5" s="910"/>
    </row>
    <row r="6" spans="1:16" ht="52.5" customHeight="1" thickBot="1">
      <c r="A6" s="897" t="s">
        <v>141</v>
      </c>
      <c r="B6" s="897" t="s">
        <v>613</v>
      </c>
      <c r="C6" s="899" t="s">
        <v>614</v>
      </c>
      <c r="D6" s="899" t="s">
        <v>615</v>
      </c>
      <c r="E6" s="891" t="s">
        <v>616</v>
      </c>
      <c r="F6" s="893" t="s">
        <v>617</v>
      </c>
      <c r="G6" s="891" t="s">
        <v>618</v>
      </c>
      <c r="H6" s="913" t="s">
        <v>619</v>
      </c>
      <c r="I6" s="914"/>
      <c r="J6" s="914"/>
      <c r="K6" s="915"/>
      <c r="L6" s="913" t="s">
        <v>620</v>
      </c>
      <c r="M6" s="915"/>
      <c r="N6" s="919" t="s">
        <v>621</v>
      </c>
      <c r="O6" s="913" t="s">
        <v>622</v>
      </c>
      <c r="P6" s="927"/>
    </row>
    <row r="7" spans="1:16" ht="13.5" thickBot="1">
      <c r="A7" s="898"/>
      <c r="B7" s="898"/>
      <c r="C7" s="900"/>
      <c r="D7" s="900"/>
      <c r="E7" s="892"/>
      <c r="F7" s="894"/>
      <c r="G7" s="892"/>
      <c r="H7" s="916"/>
      <c r="I7" s="917"/>
      <c r="J7" s="917"/>
      <c r="K7" s="918"/>
      <c r="L7" s="916"/>
      <c r="M7" s="918"/>
      <c r="N7" s="920"/>
      <c r="O7" s="919" t="s">
        <v>623</v>
      </c>
      <c r="P7" s="924" t="s">
        <v>624</v>
      </c>
    </row>
    <row r="8" spans="1:16" ht="39.75" customHeight="1" thickBot="1">
      <c r="A8" s="898"/>
      <c r="B8" s="898"/>
      <c r="C8" s="900"/>
      <c r="D8" s="900"/>
      <c r="E8" s="892"/>
      <c r="F8" s="894"/>
      <c r="G8" s="892"/>
      <c r="H8" s="911" t="s">
        <v>712</v>
      </c>
      <c r="I8" s="912"/>
      <c r="J8" s="922" t="s">
        <v>625</v>
      </c>
      <c r="K8" s="923"/>
      <c r="L8" s="928" t="s">
        <v>626</v>
      </c>
      <c r="M8" s="929"/>
      <c r="N8" s="920"/>
      <c r="O8" s="920"/>
      <c r="P8" s="925"/>
    </row>
    <row r="9" spans="1:16" ht="13.5" thickBot="1">
      <c r="A9" s="898"/>
      <c r="B9" s="898"/>
      <c r="C9" s="900"/>
      <c r="D9" s="900"/>
      <c r="E9" s="892"/>
      <c r="F9" s="894"/>
      <c r="G9" s="892"/>
      <c r="H9" s="478" t="s">
        <v>246</v>
      </c>
      <c r="I9" s="478" t="s">
        <v>247</v>
      </c>
      <c r="J9" s="478" t="s">
        <v>246</v>
      </c>
      <c r="K9" s="478" t="s">
        <v>247</v>
      </c>
      <c r="L9" s="478" t="s">
        <v>246</v>
      </c>
      <c r="M9" s="478" t="s">
        <v>247</v>
      </c>
      <c r="N9" s="921"/>
      <c r="O9" s="920"/>
      <c r="P9" s="926"/>
    </row>
    <row r="10" spans="1:16">
      <c r="A10" s="391">
        <v>1</v>
      </c>
      <c r="B10" s="335" t="s">
        <v>517</v>
      </c>
      <c r="C10" s="336"/>
      <c r="D10" s="336" t="s">
        <v>627</v>
      </c>
      <c r="E10" s="337">
        <v>1</v>
      </c>
      <c r="F10" s="456"/>
      <c r="G10" s="462">
        <v>30900</v>
      </c>
      <c r="H10" s="461"/>
      <c r="I10" s="337"/>
      <c r="J10" s="337"/>
      <c r="K10" s="337"/>
      <c r="L10" s="337"/>
      <c r="M10" s="337"/>
      <c r="N10" s="337">
        <v>30900</v>
      </c>
      <c r="O10" s="337">
        <f>N10*E10</f>
        <v>30900</v>
      </c>
      <c r="P10" s="458">
        <v>370800</v>
      </c>
    </row>
    <row r="11" spans="1:16">
      <c r="A11" s="391">
        <v>2</v>
      </c>
      <c r="B11" s="335" t="s">
        <v>736</v>
      </c>
      <c r="C11" s="336"/>
      <c r="D11" s="336" t="s">
        <v>627</v>
      </c>
      <c r="E11" s="337">
        <v>1</v>
      </c>
      <c r="F11" s="456">
        <v>2.4500000000000002</v>
      </c>
      <c r="G11" s="462">
        <v>15925</v>
      </c>
      <c r="H11" s="462"/>
      <c r="I11" s="337"/>
      <c r="J11" s="337"/>
      <c r="K11" s="337"/>
      <c r="L11" s="337"/>
      <c r="M11" s="337"/>
      <c r="N11" s="337">
        <v>15925</v>
      </c>
      <c r="O11" s="337">
        <f t="shared" ref="O11:O22" si="0">N11*E11</f>
        <v>15925</v>
      </c>
      <c r="P11" s="459">
        <v>191100</v>
      </c>
    </row>
    <row r="12" spans="1:16">
      <c r="A12" s="391">
        <v>3</v>
      </c>
      <c r="B12" s="335" t="s">
        <v>518</v>
      </c>
      <c r="C12" s="336"/>
      <c r="D12" s="336" t="s">
        <v>627</v>
      </c>
      <c r="E12" s="337">
        <v>1</v>
      </c>
      <c r="F12" s="456">
        <v>2.4500000000000002</v>
      </c>
      <c r="G12" s="462">
        <v>15925</v>
      </c>
      <c r="H12" s="462"/>
      <c r="I12" s="337"/>
      <c r="J12" s="337"/>
      <c r="K12" s="337"/>
      <c r="L12" s="337"/>
      <c r="M12" s="337"/>
      <c r="N12" s="337">
        <v>15925</v>
      </c>
      <c r="O12" s="337">
        <f t="shared" si="0"/>
        <v>15925</v>
      </c>
      <c r="P12" s="459">
        <v>191100</v>
      </c>
    </row>
    <row r="13" spans="1:16" ht="25.5">
      <c r="A13" s="391">
        <v>4</v>
      </c>
      <c r="B13" s="575" t="s">
        <v>734</v>
      </c>
      <c r="C13" s="336"/>
      <c r="D13" s="336" t="s">
        <v>627</v>
      </c>
      <c r="E13" s="337">
        <v>1</v>
      </c>
      <c r="F13" s="456">
        <v>1.91</v>
      </c>
      <c r="G13" s="462">
        <v>12415</v>
      </c>
      <c r="H13" s="462"/>
      <c r="I13" s="337"/>
      <c r="J13" s="337"/>
      <c r="K13" s="337"/>
      <c r="L13" s="337"/>
      <c r="M13" s="337"/>
      <c r="N13" s="337">
        <v>12415</v>
      </c>
      <c r="O13" s="337">
        <f t="shared" si="0"/>
        <v>12415</v>
      </c>
      <c r="P13" s="459">
        <v>148980</v>
      </c>
    </row>
    <row r="14" spans="1:16" ht="25.5">
      <c r="A14" s="391">
        <v>5</v>
      </c>
      <c r="B14" s="575" t="s">
        <v>737</v>
      </c>
      <c r="C14" s="336"/>
      <c r="D14" s="336" t="s">
        <v>627</v>
      </c>
      <c r="E14" s="337">
        <v>1</v>
      </c>
      <c r="F14" s="456">
        <v>1.91</v>
      </c>
      <c r="G14" s="462">
        <v>12415</v>
      </c>
      <c r="H14" s="462"/>
      <c r="I14" s="337"/>
      <c r="J14" s="337"/>
      <c r="K14" s="337"/>
      <c r="L14" s="337"/>
      <c r="M14" s="337"/>
      <c r="N14" s="337">
        <v>12415</v>
      </c>
      <c r="O14" s="337">
        <f t="shared" si="0"/>
        <v>12415</v>
      </c>
      <c r="P14" s="459"/>
    </row>
    <row r="15" spans="1:16">
      <c r="A15" s="391">
        <v>6</v>
      </c>
      <c r="B15" s="335" t="s">
        <v>628</v>
      </c>
      <c r="C15" s="336"/>
      <c r="D15" s="336" t="s">
        <v>629</v>
      </c>
      <c r="E15" s="602">
        <v>1</v>
      </c>
      <c r="F15" s="455">
        <v>1.91</v>
      </c>
      <c r="G15" s="603">
        <v>12415</v>
      </c>
      <c r="H15" s="462"/>
      <c r="I15" s="337"/>
      <c r="J15" s="337"/>
      <c r="K15" s="337"/>
      <c r="L15" s="337"/>
      <c r="M15" s="337"/>
      <c r="N15" s="337">
        <v>12415</v>
      </c>
      <c r="O15" s="337">
        <f t="shared" si="0"/>
        <v>12415</v>
      </c>
      <c r="P15" s="459"/>
    </row>
    <row r="16" spans="1:16">
      <c r="A16" s="391">
        <v>7</v>
      </c>
      <c r="B16" s="335" t="s">
        <v>630</v>
      </c>
      <c r="C16" s="336"/>
      <c r="D16" s="336" t="s">
        <v>631</v>
      </c>
      <c r="E16" s="602">
        <v>1</v>
      </c>
      <c r="F16" s="456">
        <v>1.306</v>
      </c>
      <c r="G16" s="604">
        <v>8489</v>
      </c>
      <c r="H16" s="337"/>
      <c r="I16" s="337"/>
      <c r="J16" s="337"/>
      <c r="K16" s="337"/>
      <c r="L16" s="337"/>
      <c r="M16" s="337"/>
      <c r="N16" s="337">
        <v>8489</v>
      </c>
      <c r="O16" s="337">
        <f t="shared" si="0"/>
        <v>8489</v>
      </c>
      <c r="P16" s="459">
        <v>101868</v>
      </c>
    </row>
    <row r="17" spans="1:16">
      <c r="A17" s="391">
        <v>8</v>
      </c>
      <c r="B17" s="369" t="s">
        <v>519</v>
      </c>
      <c r="C17" s="370"/>
      <c r="D17" s="374">
        <v>189594</v>
      </c>
      <c r="E17" s="493">
        <v>2</v>
      </c>
      <c r="F17" s="455">
        <v>1.4590000000000001</v>
      </c>
      <c r="G17" s="470">
        <v>9484</v>
      </c>
      <c r="H17" s="343"/>
      <c r="I17" s="343"/>
      <c r="J17" s="343"/>
      <c r="K17" s="343"/>
      <c r="L17" s="343"/>
      <c r="M17" s="343"/>
      <c r="N17" s="337">
        <v>9484</v>
      </c>
      <c r="O17" s="337">
        <f>N17*E17</f>
        <v>18968</v>
      </c>
      <c r="P17" s="459"/>
    </row>
    <row r="18" spans="1:16">
      <c r="A18" s="391">
        <v>9</v>
      </c>
      <c r="B18" s="369" t="s">
        <v>735</v>
      </c>
      <c r="C18" s="370"/>
      <c r="D18" s="371">
        <v>2429</v>
      </c>
      <c r="E18" s="493">
        <v>1</v>
      </c>
      <c r="F18" s="455">
        <v>1.4590000000000001</v>
      </c>
      <c r="G18" s="533">
        <v>9484</v>
      </c>
      <c r="H18" s="414"/>
      <c r="I18" s="343"/>
      <c r="J18" s="343"/>
      <c r="K18" s="343"/>
      <c r="L18" s="343"/>
      <c r="M18" s="343"/>
      <c r="N18" s="337">
        <v>9484</v>
      </c>
      <c r="O18" s="337">
        <f t="shared" si="0"/>
        <v>9484</v>
      </c>
      <c r="P18" s="459"/>
    </row>
    <row r="19" spans="1:16">
      <c r="A19" s="391">
        <v>10</v>
      </c>
      <c r="B19" s="335" t="s">
        <v>738</v>
      </c>
      <c r="C19" s="336"/>
      <c r="D19" s="371">
        <v>2429</v>
      </c>
      <c r="E19" s="493">
        <v>1</v>
      </c>
      <c r="F19" s="455">
        <v>1.4590000000000001</v>
      </c>
      <c r="G19" s="533">
        <v>9484</v>
      </c>
      <c r="H19" s="337"/>
      <c r="I19" s="337"/>
      <c r="J19" s="337"/>
      <c r="K19" s="337"/>
      <c r="L19" s="337"/>
      <c r="M19" s="337"/>
      <c r="N19" s="337">
        <v>9484</v>
      </c>
      <c r="O19" s="337">
        <f t="shared" si="0"/>
        <v>9484</v>
      </c>
      <c r="P19" s="459"/>
    </row>
    <row r="20" spans="1:16">
      <c r="A20" s="391">
        <v>11</v>
      </c>
      <c r="B20" s="496" t="s">
        <v>486</v>
      </c>
      <c r="C20" s="319"/>
      <c r="D20" s="320" t="s">
        <v>653</v>
      </c>
      <c r="E20" s="468">
        <v>1</v>
      </c>
      <c r="F20" s="455">
        <v>1.4590000000000001</v>
      </c>
      <c r="G20" s="453">
        <v>9484</v>
      </c>
      <c r="H20" s="407"/>
      <c r="I20" s="317"/>
      <c r="J20" s="317"/>
      <c r="K20" s="317"/>
      <c r="L20" s="317"/>
      <c r="M20" s="317"/>
      <c r="N20" s="337">
        <v>9484</v>
      </c>
      <c r="O20" s="337">
        <f t="shared" si="0"/>
        <v>9484</v>
      </c>
      <c r="P20" s="459"/>
    </row>
    <row r="21" spans="1:16">
      <c r="A21" s="391">
        <v>12</v>
      </c>
      <c r="B21" s="335" t="s">
        <v>484</v>
      </c>
      <c r="C21" s="336"/>
      <c r="D21" s="336" t="s">
        <v>631</v>
      </c>
      <c r="E21" s="337">
        <v>1</v>
      </c>
      <c r="F21" s="456">
        <v>1.306</v>
      </c>
      <c r="G21" s="337">
        <v>8489</v>
      </c>
      <c r="H21" s="337"/>
      <c r="I21" s="337"/>
      <c r="J21" s="337"/>
      <c r="K21" s="337"/>
      <c r="L21" s="337"/>
      <c r="M21" s="337"/>
      <c r="N21" s="337">
        <v>8489</v>
      </c>
      <c r="O21" s="337">
        <f t="shared" si="0"/>
        <v>8489</v>
      </c>
      <c r="P21" s="459">
        <v>101868</v>
      </c>
    </row>
    <row r="22" spans="1:16" ht="13.5" thickBot="1">
      <c r="A22" s="391">
        <v>13</v>
      </c>
      <c r="B22" s="335" t="s">
        <v>568</v>
      </c>
      <c r="C22" s="336"/>
      <c r="D22" s="336">
        <v>3436</v>
      </c>
      <c r="E22" s="337">
        <v>1</v>
      </c>
      <c r="F22" s="456">
        <v>1.4079999999999999</v>
      </c>
      <c r="G22" s="337">
        <v>9152</v>
      </c>
      <c r="H22" s="337"/>
      <c r="I22" s="337"/>
      <c r="J22" s="337"/>
      <c r="K22" s="337"/>
      <c r="L22" s="337"/>
      <c r="M22" s="337"/>
      <c r="N22" s="337">
        <v>9152</v>
      </c>
      <c r="O22" s="337">
        <f t="shared" si="0"/>
        <v>9152</v>
      </c>
      <c r="P22" s="459">
        <v>109824</v>
      </c>
    </row>
    <row r="23" spans="1:16" ht="15.75" thickBot="1">
      <c r="A23" s="850" t="s">
        <v>245</v>
      </c>
      <c r="B23" s="851"/>
      <c r="C23" s="851"/>
      <c r="D23" s="884"/>
      <c r="E23" s="505">
        <f>E10+E11+E12+E13+E14+E15+E16+E17+E18+E19+E20+E21+E22</f>
        <v>14</v>
      </c>
      <c r="F23" s="425"/>
      <c r="G23" s="460"/>
      <c r="H23" s="460"/>
      <c r="I23" s="460"/>
      <c r="J23" s="460"/>
      <c r="K23" s="460"/>
      <c r="L23" s="460"/>
      <c r="M23" s="480"/>
      <c r="N23" s="481"/>
      <c r="O23" s="481">
        <f>SUM(O10:O22)</f>
        <v>173545</v>
      </c>
      <c r="P23" s="404">
        <v>1309452</v>
      </c>
    </row>
    <row r="24" spans="1:16" ht="15" hidden="1">
      <c r="A24" s="354"/>
      <c r="B24" s="362" t="s">
        <v>632</v>
      </c>
      <c r="C24" s="344"/>
      <c r="D24" s="344"/>
      <c r="E24" s="345">
        <v>3</v>
      </c>
      <c r="F24" s="345"/>
      <c r="G24" s="345"/>
      <c r="H24" s="345"/>
      <c r="I24" s="345"/>
      <c r="J24" s="345"/>
      <c r="K24" s="345"/>
      <c r="L24" s="345"/>
      <c r="M24" s="345"/>
      <c r="N24" s="345"/>
      <c r="O24" s="345">
        <f>O12+O14+O13</f>
        <v>40755</v>
      </c>
      <c r="P24" s="355">
        <v>340080</v>
      </c>
    </row>
    <row r="25" spans="1:16" ht="15" hidden="1">
      <c r="A25" s="356"/>
      <c r="B25" s="363" t="s">
        <v>633</v>
      </c>
      <c r="C25" s="340"/>
      <c r="D25" s="340"/>
      <c r="E25" s="338">
        <v>1</v>
      </c>
      <c r="F25" s="338"/>
      <c r="G25" s="338"/>
      <c r="H25" s="338"/>
      <c r="I25" s="338"/>
      <c r="J25" s="338"/>
      <c r="K25" s="338"/>
      <c r="L25" s="338"/>
      <c r="M25" s="338"/>
      <c r="N25" s="338"/>
      <c r="O25" s="338">
        <v>12415</v>
      </c>
      <c r="P25" s="357"/>
    </row>
    <row r="26" spans="1:16" ht="15" hidden="1">
      <c r="A26" s="356"/>
      <c r="B26" s="363" t="s">
        <v>634</v>
      </c>
      <c r="C26" s="340"/>
      <c r="D26" s="340"/>
      <c r="E26" s="338"/>
      <c r="F26" s="338"/>
      <c r="G26" s="339"/>
      <c r="H26" s="339"/>
      <c r="I26" s="339"/>
      <c r="J26" s="339"/>
      <c r="K26" s="339"/>
      <c r="L26" s="339"/>
      <c r="M26" s="339"/>
      <c r="N26" s="339"/>
      <c r="O26" s="338"/>
      <c r="P26" s="357"/>
    </row>
    <row r="27" spans="1:16" ht="15.75" hidden="1" thickBot="1">
      <c r="A27" s="358"/>
      <c r="B27" s="364" t="s">
        <v>635</v>
      </c>
      <c r="C27" s="359"/>
      <c r="D27" s="359"/>
      <c r="E27" s="360">
        <f>E10+E16+E17+E18+E19+E20+E21+E22+E11</f>
        <v>10</v>
      </c>
      <c r="F27" s="360"/>
      <c r="G27" s="360"/>
      <c r="H27" s="360"/>
      <c r="I27" s="360"/>
      <c r="J27" s="360"/>
      <c r="K27" s="360"/>
      <c r="L27" s="360"/>
      <c r="M27" s="360"/>
      <c r="N27" s="360"/>
      <c r="O27" s="360">
        <f>O10+O11+O16+O17+O18+O19+O20+O21+O22</f>
        <v>120375</v>
      </c>
      <c r="P27" s="361">
        <v>969372</v>
      </c>
    </row>
    <row r="28" spans="1:16" ht="15.75" thickBot="1">
      <c r="A28" s="872" t="s">
        <v>636</v>
      </c>
      <c r="B28" s="858"/>
      <c r="C28" s="858"/>
      <c r="D28" s="858"/>
      <c r="E28" s="858"/>
      <c r="F28" s="858"/>
      <c r="G28" s="858"/>
      <c r="H28" s="858"/>
      <c r="I28" s="858"/>
      <c r="J28" s="858"/>
      <c r="K28" s="858"/>
      <c r="L28" s="858"/>
      <c r="M28" s="858"/>
      <c r="N28" s="858"/>
      <c r="O28" s="858"/>
      <c r="P28" s="859"/>
    </row>
    <row r="29" spans="1:16">
      <c r="A29" s="349">
        <v>1</v>
      </c>
      <c r="B29" s="314" t="s">
        <v>273</v>
      </c>
      <c r="C29" s="315"/>
      <c r="D29" s="315">
        <v>1231</v>
      </c>
      <c r="E29" s="316">
        <v>1</v>
      </c>
      <c r="F29" s="503">
        <v>2.1</v>
      </c>
      <c r="G29" s="409">
        <v>13650</v>
      </c>
      <c r="H29" s="409"/>
      <c r="I29" s="316"/>
      <c r="J29" s="316"/>
      <c r="K29" s="316"/>
      <c r="L29" s="316"/>
      <c r="M29" s="316"/>
      <c r="N29" s="337">
        <v>13650</v>
      </c>
      <c r="O29" s="316">
        <v>13650</v>
      </c>
      <c r="P29" s="350">
        <v>163800</v>
      </c>
    </row>
    <row r="30" spans="1:16">
      <c r="A30" s="351">
        <v>2</v>
      </c>
      <c r="B30" s="318" t="s">
        <v>483</v>
      </c>
      <c r="C30" s="320"/>
      <c r="D30" s="320">
        <v>1231</v>
      </c>
      <c r="E30" s="451">
        <v>1</v>
      </c>
      <c r="F30" s="455">
        <v>1.81</v>
      </c>
      <c r="G30" s="453">
        <v>11765</v>
      </c>
      <c r="H30" s="407"/>
      <c r="I30" s="317"/>
      <c r="J30" s="317"/>
      <c r="K30" s="317"/>
      <c r="L30" s="317"/>
      <c r="M30" s="317"/>
      <c r="N30" s="337">
        <v>11765</v>
      </c>
      <c r="O30" s="316">
        <v>11765</v>
      </c>
      <c r="P30" s="352">
        <v>141180</v>
      </c>
    </row>
    <row r="31" spans="1:16" ht="13.5" thickBot="1">
      <c r="A31" s="375">
        <v>3</v>
      </c>
      <c r="B31" s="341" t="s">
        <v>488</v>
      </c>
      <c r="C31" s="373"/>
      <c r="D31" s="373">
        <v>3433</v>
      </c>
      <c r="E31" s="343">
        <v>6</v>
      </c>
      <c r="F31" s="503">
        <v>1.4079999999999999</v>
      </c>
      <c r="G31" s="407">
        <v>9152</v>
      </c>
      <c r="H31" s="408"/>
      <c r="I31" s="343"/>
      <c r="J31" s="343"/>
      <c r="K31" s="343"/>
      <c r="L31" s="343"/>
      <c r="M31" s="343"/>
      <c r="N31" s="337">
        <v>9152</v>
      </c>
      <c r="O31" s="316">
        <f>N31*E31</f>
        <v>54912</v>
      </c>
      <c r="P31" s="353">
        <v>768768</v>
      </c>
    </row>
    <row r="32" spans="1:16" ht="15.75" thickBot="1">
      <c r="A32" s="850" t="s">
        <v>637</v>
      </c>
      <c r="B32" s="851"/>
      <c r="C32" s="851"/>
      <c r="D32" s="852"/>
      <c r="E32" s="347">
        <f>E29+E30+E31</f>
        <v>8</v>
      </c>
      <c r="F32" s="347"/>
      <c r="G32" s="348"/>
      <c r="H32" s="348"/>
      <c r="I32" s="348"/>
      <c r="J32" s="348"/>
      <c r="K32" s="348"/>
      <c r="L32" s="348"/>
      <c r="M32" s="348"/>
      <c r="N32" s="348"/>
      <c r="O32" s="403">
        <f>O29+O30+O31</f>
        <v>80327</v>
      </c>
      <c r="P32" s="404">
        <v>1073748</v>
      </c>
    </row>
    <row r="33" spans="1:16" ht="15" hidden="1">
      <c r="A33" s="354"/>
      <c r="B33" s="362" t="s">
        <v>632</v>
      </c>
      <c r="C33" s="344"/>
      <c r="D33" s="344"/>
      <c r="E33" s="345"/>
      <c r="F33" s="345"/>
      <c r="G33" s="346"/>
      <c r="H33" s="346"/>
      <c r="I33" s="346"/>
      <c r="J33" s="346"/>
      <c r="K33" s="346"/>
      <c r="L33" s="346"/>
      <c r="M33" s="346"/>
      <c r="N33" s="346"/>
      <c r="O33" s="345"/>
      <c r="P33" s="355"/>
    </row>
    <row r="34" spans="1:16" ht="15" hidden="1">
      <c r="A34" s="356"/>
      <c r="B34" s="363" t="s">
        <v>633</v>
      </c>
      <c r="C34" s="340"/>
      <c r="D34" s="340"/>
      <c r="E34" s="338"/>
      <c r="F34" s="338"/>
      <c r="G34" s="339"/>
      <c r="H34" s="339"/>
      <c r="I34" s="339"/>
      <c r="J34" s="339"/>
      <c r="K34" s="339"/>
      <c r="L34" s="339"/>
      <c r="M34" s="339"/>
      <c r="N34" s="339"/>
      <c r="O34" s="338"/>
      <c r="P34" s="357"/>
    </row>
    <row r="35" spans="1:16" ht="15" hidden="1">
      <c r="A35" s="356"/>
      <c r="B35" s="363" t="s">
        <v>634</v>
      </c>
      <c r="C35" s="340"/>
      <c r="D35" s="340"/>
      <c r="E35" s="338"/>
      <c r="F35" s="338"/>
      <c r="G35" s="339"/>
      <c r="H35" s="339"/>
      <c r="I35" s="339"/>
      <c r="J35" s="339"/>
      <c r="K35" s="339"/>
      <c r="L35" s="339"/>
      <c r="M35" s="339"/>
      <c r="N35" s="339"/>
      <c r="O35" s="338"/>
      <c r="P35" s="357"/>
    </row>
    <row r="36" spans="1:16" ht="15.75" hidden="1" thickBot="1">
      <c r="A36" s="358"/>
      <c r="B36" s="364" t="s">
        <v>635</v>
      </c>
      <c r="C36" s="359"/>
      <c r="D36" s="359"/>
      <c r="E36" s="360">
        <f>E32</f>
        <v>8</v>
      </c>
      <c r="F36" s="360"/>
      <c r="G36" s="360"/>
      <c r="H36" s="360"/>
      <c r="I36" s="360"/>
      <c r="J36" s="360"/>
      <c r="K36" s="360"/>
      <c r="L36" s="360"/>
      <c r="M36" s="360"/>
      <c r="N36" s="360"/>
      <c r="O36" s="360">
        <f>O32</f>
        <v>80327</v>
      </c>
      <c r="P36" s="361">
        <v>1073748</v>
      </c>
    </row>
    <row r="37" spans="1:16" ht="15.75" thickBot="1">
      <c r="A37" s="872" t="s">
        <v>638</v>
      </c>
      <c r="B37" s="858"/>
      <c r="C37" s="858"/>
      <c r="D37" s="858"/>
      <c r="E37" s="858"/>
      <c r="F37" s="858"/>
      <c r="G37" s="858"/>
      <c r="H37" s="858"/>
      <c r="I37" s="858"/>
      <c r="J37" s="858"/>
      <c r="K37" s="858"/>
      <c r="L37" s="858"/>
      <c r="M37" s="858"/>
      <c r="N37" s="858"/>
      <c r="O37" s="858"/>
      <c r="P37" s="859"/>
    </row>
    <row r="38" spans="1:16">
      <c r="A38" s="433">
        <v>1</v>
      </c>
      <c r="B38" s="434" t="s">
        <v>639</v>
      </c>
      <c r="C38" s="435"/>
      <c r="D38" s="436" t="s">
        <v>629</v>
      </c>
      <c r="E38" s="437">
        <v>1</v>
      </c>
      <c r="F38" s="504">
        <v>1.91</v>
      </c>
      <c r="G38" s="438">
        <v>12415</v>
      </c>
      <c r="H38" s="438"/>
      <c r="I38" s="437"/>
      <c r="J38" s="437"/>
      <c r="K38" s="437"/>
      <c r="L38" s="437"/>
      <c r="M38" s="435"/>
      <c r="N38" s="337">
        <v>12415</v>
      </c>
      <c r="O38" s="316">
        <v>12415</v>
      </c>
      <c r="P38" s="439">
        <v>148980</v>
      </c>
    </row>
    <row r="39" spans="1:16" ht="13.5" thickBot="1">
      <c r="A39" s="391">
        <v>2</v>
      </c>
      <c r="B39" s="335" t="s">
        <v>416</v>
      </c>
      <c r="C39" s="336"/>
      <c r="D39" s="334" t="s">
        <v>640</v>
      </c>
      <c r="E39" s="337">
        <v>2</v>
      </c>
      <c r="F39" s="455">
        <v>1.4590000000000001</v>
      </c>
      <c r="G39" s="337">
        <v>9484</v>
      </c>
      <c r="H39" s="337"/>
      <c r="I39" s="337"/>
      <c r="J39" s="337"/>
      <c r="K39" s="337"/>
      <c r="L39" s="337"/>
      <c r="M39" s="337"/>
      <c r="N39" s="337">
        <v>9484</v>
      </c>
      <c r="O39" s="316">
        <v>18968</v>
      </c>
      <c r="P39" s="410">
        <v>227616</v>
      </c>
    </row>
    <row r="40" spans="1:16" ht="15.75" thickBot="1">
      <c r="A40" s="888" t="s">
        <v>637</v>
      </c>
      <c r="B40" s="889"/>
      <c r="C40" s="889"/>
      <c r="D40" s="889"/>
      <c r="E40" s="367">
        <f>E38+E39</f>
        <v>3</v>
      </c>
      <c r="F40" s="367"/>
      <c r="G40" s="368"/>
      <c r="H40" s="368"/>
      <c r="I40" s="368"/>
      <c r="J40" s="368"/>
      <c r="K40" s="368"/>
      <c r="L40" s="368"/>
      <c r="M40" s="368"/>
      <c r="N40" s="368"/>
      <c r="O40" s="405">
        <f>O38+O39</f>
        <v>31383</v>
      </c>
      <c r="P40" s="406">
        <v>486420</v>
      </c>
    </row>
    <row r="41" spans="1:16" ht="15" hidden="1">
      <c r="A41" s="354"/>
      <c r="B41" s="362" t="s">
        <v>632</v>
      </c>
      <c r="C41" s="344"/>
      <c r="D41" s="344"/>
      <c r="E41" s="345"/>
      <c r="F41" s="345"/>
      <c r="G41" s="346"/>
      <c r="H41" s="346"/>
      <c r="I41" s="346"/>
      <c r="J41" s="346"/>
      <c r="K41" s="346"/>
      <c r="L41" s="346"/>
      <c r="M41" s="346"/>
      <c r="N41" s="346"/>
      <c r="O41" s="345"/>
      <c r="P41" s="355"/>
    </row>
    <row r="42" spans="1:16" ht="15" hidden="1">
      <c r="A42" s="356"/>
      <c r="B42" s="363" t="s">
        <v>633</v>
      </c>
      <c r="C42" s="340"/>
      <c r="D42" s="340"/>
      <c r="E42" s="338"/>
      <c r="F42" s="338"/>
      <c r="G42" s="339"/>
      <c r="H42" s="339"/>
      <c r="I42" s="339"/>
      <c r="J42" s="339"/>
      <c r="K42" s="339"/>
      <c r="L42" s="339"/>
      <c r="M42" s="339"/>
      <c r="N42" s="339"/>
      <c r="O42" s="338"/>
      <c r="P42" s="357"/>
    </row>
    <row r="43" spans="1:16" ht="15" hidden="1">
      <c r="A43" s="356"/>
      <c r="B43" s="363" t="s">
        <v>634</v>
      </c>
      <c r="C43" s="340"/>
      <c r="D43" s="340"/>
      <c r="E43" s="338"/>
      <c r="F43" s="338"/>
      <c r="G43" s="339"/>
      <c r="H43" s="339"/>
      <c r="I43" s="339"/>
      <c r="J43" s="339"/>
      <c r="K43" s="339"/>
      <c r="L43" s="339"/>
      <c r="M43" s="339"/>
      <c r="N43" s="339"/>
      <c r="O43" s="338"/>
      <c r="P43" s="357"/>
    </row>
    <row r="44" spans="1:16" ht="15.75" hidden="1" thickBot="1">
      <c r="A44" s="401"/>
      <c r="B44" s="388" t="s">
        <v>635</v>
      </c>
      <c r="C44" s="387"/>
      <c r="D44" s="387"/>
      <c r="E44" s="389">
        <f>E40</f>
        <v>3</v>
      </c>
      <c r="F44" s="389"/>
      <c r="G44" s="389"/>
      <c r="H44" s="389"/>
      <c r="I44" s="389"/>
      <c r="J44" s="389"/>
      <c r="K44" s="389"/>
      <c r="L44" s="389"/>
      <c r="M44" s="389"/>
      <c r="N44" s="389"/>
      <c r="O44" s="389">
        <f>O40</f>
        <v>31383</v>
      </c>
      <c r="P44" s="402">
        <v>486420</v>
      </c>
    </row>
    <row r="45" spans="1:16" ht="15.75" hidden="1" thickBot="1">
      <c r="A45" s="885" t="s">
        <v>641</v>
      </c>
      <c r="B45" s="886"/>
      <c r="C45" s="886"/>
      <c r="D45" s="886"/>
      <c r="E45" s="886"/>
      <c r="F45" s="886"/>
      <c r="G45" s="886"/>
      <c r="H45" s="886"/>
      <c r="I45" s="886"/>
      <c r="J45" s="886"/>
      <c r="K45" s="886"/>
      <c r="L45" s="886"/>
      <c r="M45" s="886"/>
      <c r="N45" s="886"/>
      <c r="O45" s="886"/>
      <c r="P45" s="887"/>
    </row>
    <row r="46" spans="1:16" hidden="1">
      <c r="A46" s="392"/>
      <c r="B46" s="330"/>
      <c r="C46" s="331"/>
      <c r="D46" s="332"/>
      <c r="E46" s="333"/>
      <c r="F46" s="503"/>
      <c r="G46" s="409"/>
      <c r="H46" s="409"/>
      <c r="I46" s="316"/>
      <c r="J46" s="316"/>
      <c r="K46" s="316"/>
      <c r="L46" s="316"/>
      <c r="M46" s="316"/>
      <c r="N46" s="337"/>
      <c r="O46" s="316"/>
      <c r="P46" s="393">
        <v>148980</v>
      </c>
    </row>
    <row r="47" spans="1:16" ht="13.5" hidden="1" thickBot="1">
      <c r="A47" s="394"/>
      <c r="B47" s="369"/>
      <c r="C47" s="370"/>
      <c r="D47" s="371"/>
      <c r="E47" s="372"/>
      <c r="F47" s="467"/>
      <c r="G47" s="316"/>
      <c r="H47" s="414"/>
      <c r="I47" s="343"/>
      <c r="J47" s="343"/>
      <c r="K47" s="343"/>
      <c r="L47" s="343"/>
      <c r="M47" s="343"/>
      <c r="N47" s="337"/>
      <c r="O47" s="316"/>
      <c r="P47" s="411">
        <v>227616</v>
      </c>
    </row>
    <row r="48" spans="1:16" ht="15.75" hidden="1" thickBot="1">
      <c r="A48" s="895"/>
      <c r="B48" s="851"/>
      <c r="C48" s="851"/>
      <c r="D48" s="852"/>
      <c r="E48" s="347"/>
      <c r="F48" s="347"/>
      <c r="G48" s="348"/>
      <c r="H48" s="348"/>
      <c r="I48" s="348"/>
      <c r="J48" s="348"/>
      <c r="K48" s="348"/>
      <c r="L48" s="348"/>
      <c r="M48" s="348"/>
      <c r="N48" s="348"/>
      <c r="O48" s="403"/>
      <c r="P48" s="404">
        <v>376596</v>
      </c>
    </row>
    <row r="49" spans="1:16" ht="15" hidden="1">
      <c r="A49" s="356"/>
      <c r="B49" s="362" t="s">
        <v>632</v>
      </c>
      <c r="C49" s="344"/>
      <c r="D49" s="344"/>
      <c r="E49" s="345"/>
      <c r="F49" s="345"/>
      <c r="G49" s="346"/>
      <c r="H49" s="346"/>
      <c r="I49" s="346"/>
      <c r="J49" s="346"/>
      <c r="K49" s="346"/>
      <c r="L49" s="346"/>
      <c r="M49" s="346"/>
      <c r="N49" s="346"/>
      <c r="O49" s="345"/>
      <c r="P49" s="355"/>
    </row>
    <row r="50" spans="1:16" ht="15" hidden="1">
      <c r="A50" s="356"/>
      <c r="B50" s="363" t="s">
        <v>633</v>
      </c>
      <c r="C50" s="340"/>
      <c r="D50" s="340"/>
      <c r="E50" s="338"/>
      <c r="F50" s="338"/>
      <c r="G50" s="339"/>
      <c r="H50" s="339"/>
      <c r="I50" s="339"/>
      <c r="J50" s="339"/>
      <c r="K50" s="339"/>
      <c r="L50" s="339"/>
      <c r="M50" s="339"/>
      <c r="N50" s="339"/>
      <c r="O50" s="338"/>
      <c r="P50" s="357"/>
    </row>
    <row r="51" spans="1:16" ht="15" hidden="1">
      <c r="A51" s="356"/>
      <c r="B51" s="363" t="s">
        <v>634</v>
      </c>
      <c r="C51" s="340"/>
      <c r="D51" s="340"/>
      <c r="E51" s="389"/>
      <c r="F51" s="389"/>
      <c r="G51" s="339"/>
      <c r="H51" s="339"/>
      <c r="I51" s="339"/>
      <c r="J51" s="339"/>
      <c r="K51" s="339"/>
      <c r="L51" s="339"/>
      <c r="M51" s="339"/>
      <c r="N51" s="339"/>
      <c r="O51" s="338"/>
      <c r="P51" s="357"/>
    </row>
    <row r="52" spans="1:16" ht="15.75" hidden="1" thickBot="1">
      <c r="A52" s="401"/>
      <c r="B52" s="364" t="s">
        <v>635</v>
      </c>
      <c r="C52" s="359"/>
      <c r="D52" s="359"/>
      <c r="E52" s="360"/>
      <c r="F52" s="360"/>
      <c r="G52" s="491"/>
      <c r="H52" s="491"/>
      <c r="I52" s="491"/>
      <c r="J52" s="491"/>
      <c r="K52" s="491"/>
      <c r="L52" s="491"/>
      <c r="M52" s="491"/>
      <c r="N52" s="491"/>
      <c r="O52" s="360"/>
      <c r="P52" s="402">
        <v>376596</v>
      </c>
    </row>
    <row r="53" spans="1:16" ht="15.75" thickBot="1">
      <c r="A53" s="872" t="s">
        <v>642</v>
      </c>
      <c r="B53" s="896"/>
      <c r="C53" s="896"/>
      <c r="D53" s="896"/>
      <c r="E53" s="896"/>
      <c r="F53" s="896"/>
      <c r="G53" s="896"/>
      <c r="H53" s="896"/>
      <c r="I53" s="896"/>
      <c r="J53" s="896"/>
      <c r="K53" s="896"/>
      <c r="L53" s="896"/>
      <c r="M53" s="896"/>
      <c r="N53" s="896"/>
      <c r="O53" s="896"/>
      <c r="P53" s="859"/>
    </row>
    <row r="54" spans="1:16">
      <c r="A54" s="349">
        <v>1</v>
      </c>
      <c r="B54" s="314" t="s">
        <v>639</v>
      </c>
      <c r="C54" s="441"/>
      <c r="D54" s="332" t="s">
        <v>629</v>
      </c>
      <c r="E54" s="333">
        <v>1</v>
      </c>
      <c r="F54" s="503">
        <v>1.91</v>
      </c>
      <c r="G54" s="409">
        <v>12415</v>
      </c>
      <c r="H54" s="409"/>
      <c r="I54" s="316"/>
      <c r="J54" s="316"/>
      <c r="K54" s="316"/>
      <c r="L54" s="316"/>
      <c r="M54" s="316"/>
      <c r="N54" s="337">
        <v>12415</v>
      </c>
      <c r="O54" s="316">
        <v>12415</v>
      </c>
      <c r="P54" s="350">
        <v>148980</v>
      </c>
    </row>
    <row r="55" spans="1:16" ht="13.5" thickBot="1">
      <c r="A55" s="351">
        <v>2</v>
      </c>
      <c r="B55" s="318" t="s">
        <v>643</v>
      </c>
      <c r="C55" s="320"/>
      <c r="D55" s="320">
        <v>3423</v>
      </c>
      <c r="E55" s="451">
        <v>2</v>
      </c>
      <c r="F55" s="455">
        <v>1.4079999999999999</v>
      </c>
      <c r="G55" s="454">
        <v>9152</v>
      </c>
      <c r="H55" s="317"/>
      <c r="I55" s="317"/>
      <c r="J55" s="317"/>
      <c r="K55" s="317"/>
      <c r="L55" s="317"/>
      <c r="M55" s="317"/>
      <c r="N55" s="337">
        <v>9152</v>
      </c>
      <c r="O55" s="316">
        <f>N55*E55</f>
        <v>18304</v>
      </c>
      <c r="P55" s="352">
        <v>329472</v>
      </c>
    </row>
    <row r="56" spans="1:16" ht="15.75" thickBot="1">
      <c r="A56" s="850" t="s">
        <v>637</v>
      </c>
      <c r="B56" s="851"/>
      <c r="C56" s="851"/>
      <c r="D56" s="852"/>
      <c r="E56" s="347">
        <f>E54+E55</f>
        <v>3</v>
      </c>
      <c r="F56" s="347"/>
      <c r="G56" s="348"/>
      <c r="H56" s="348"/>
      <c r="I56" s="348"/>
      <c r="J56" s="348"/>
      <c r="K56" s="348"/>
      <c r="L56" s="348"/>
      <c r="M56" s="348"/>
      <c r="N56" s="348"/>
      <c r="O56" s="403">
        <f>O54+O55</f>
        <v>30719</v>
      </c>
      <c r="P56" s="404">
        <v>580320</v>
      </c>
    </row>
    <row r="57" spans="1:16" ht="15" hidden="1">
      <c r="A57" s="354"/>
      <c r="B57" s="362" t="s">
        <v>632</v>
      </c>
      <c r="C57" s="344"/>
      <c r="D57" s="344"/>
      <c r="E57" s="345"/>
      <c r="F57" s="345"/>
      <c r="G57" s="346"/>
      <c r="H57" s="346"/>
      <c r="I57" s="346"/>
      <c r="J57" s="346"/>
      <c r="K57" s="346"/>
      <c r="L57" s="346"/>
      <c r="M57" s="346"/>
      <c r="N57" s="346"/>
      <c r="O57" s="345"/>
      <c r="P57" s="355"/>
    </row>
    <row r="58" spans="1:16" ht="15" hidden="1">
      <c r="A58" s="356"/>
      <c r="B58" s="363" t="s">
        <v>633</v>
      </c>
      <c r="C58" s="340"/>
      <c r="D58" s="340"/>
      <c r="E58" s="338"/>
      <c r="F58" s="338"/>
      <c r="G58" s="339"/>
      <c r="H58" s="339"/>
      <c r="I58" s="339"/>
      <c r="J58" s="339"/>
      <c r="K58" s="339"/>
      <c r="L58" s="339"/>
      <c r="M58" s="339"/>
      <c r="N58" s="339"/>
      <c r="O58" s="338"/>
      <c r="P58" s="357"/>
    </row>
    <row r="59" spans="1:16" ht="15" hidden="1">
      <c r="A59" s="356"/>
      <c r="B59" s="363" t="s">
        <v>634</v>
      </c>
      <c r="C59" s="340"/>
      <c r="D59" s="340"/>
      <c r="E59" s="338"/>
      <c r="F59" s="338"/>
      <c r="G59" s="339"/>
      <c r="H59" s="339"/>
      <c r="I59" s="339"/>
      <c r="J59" s="339"/>
      <c r="K59" s="339"/>
      <c r="L59" s="339"/>
      <c r="M59" s="339"/>
      <c r="N59" s="339"/>
      <c r="O59" s="338"/>
      <c r="P59" s="357"/>
    </row>
    <row r="60" spans="1:16" ht="15.75" hidden="1" thickBot="1">
      <c r="A60" s="401"/>
      <c r="B60" s="388" t="s">
        <v>635</v>
      </c>
      <c r="C60" s="387"/>
      <c r="D60" s="387"/>
      <c r="E60" s="389">
        <f>E56</f>
        <v>3</v>
      </c>
      <c r="F60" s="389"/>
      <c r="G60" s="389"/>
      <c r="H60" s="389"/>
      <c r="I60" s="389"/>
      <c r="J60" s="389"/>
      <c r="K60" s="389"/>
      <c r="L60" s="389"/>
      <c r="M60" s="389"/>
      <c r="N60" s="389"/>
      <c r="O60" s="389">
        <f>O56</f>
        <v>30719</v>
      </c>
      <c r="P60" s="402">
        <v>580320</v>
      </c>
    </row>
    <row r="61" spans="1:16" ht="16.5" thickBot="1">
      <c r="A61" s="883" t="s">
        <v>644</v>
      </c>
      <c r="B61" s="858"/>
      <c r="C61" s="858"/>
      <c r="D61" s="858"/>
      <c r="E61" s="858"/>
      <c r="F61" s="858"/>
      <c r="G61" s="858"/>
      <c r="H61" s="858"/>
      <c r="I61" s="858"/>
      <c r="J61" s="858"/>
      <c r="K61" s="858"/>
      <c r="L61" s="858"/>
      <c r="M61" s="858"/>
      <c r="N61" s="858"/>
      <c r="O61" s="858"/>
      <c r="P61" s="859"/>
    </row>
    <row r="62" spans="1:16">
      <c r="A62" s="349">
        <v>1</v>
      </c>
      <c r="B62" s="314" t="s">
        <v>639</v>
      </c>
      <c r="C62" s="441"/>
      <c r="D62" s="332" t="s">
        <v>629</v>
      </c>
      <c r="E62" s="333">
        <v>1</v>
      </c>
      <c r="F62" s="503">
        <v>1.91</v>
      </c>
      <c r="G62" s="409">
        <v>12415</v>
      </c>
      <c r="H62" s="409"/>
      <c r="I62" s="316"/>
      <c r="J62" s="316"/>
      <c r="K62" s="316"/>
      <c r="L62" s="316"/>
      <c r="M62" s="316"/>
      <c r="N62" s="337">
        <v>12415</v>
      </c>
      <c r="O62" s="316">
        <v>12415</v>
      </c>
      <c r="P62" s="350">
        <v>148980</v>
      </c>
    </row>
    <row r="63" spans="1:16" ht="28.5" customHeight="1">
      <c r="A63" s="351">
        <f>A62+1</f>
        <v>2</v>
      </c>
      <c r="B63" s="365" t="s">
        <v>645</v>
      </c>
      <c r="C63" s="324"/>
      <c r="D63" s="324">
        <v>7241</v>
      </c>
      <c r="E63" s="451">
        <v>1</v>
      </c>
      <c r="F63" s="455">
        <v>1.153</v>
      </c>
      <c r="G63" s="453">
        <v>7495</v>
      </c>
      <c r="H63" s="407"/>
      <c r="I63" s="317"/>
      <c r="J63" s="317"/>
      <c r="K63" s="317"/>
      <c r="L63" s="317"/>
      <c r="M63" s="317"/>
      <c r="N63" s="337">
        <v>7495</v>
      </c>
      <c r="O63" s="317">
        <v>7495</v>
      </c>
      <c r="P63" s="352">
        <v>89940</v>
      </c>
    </row>
    <row r="64" spans="1:16">
      <c r="A64" s="351">
        <f t="shared" ref="A64:A72" si="1">A63+1</f>
        <v>3</v>
      </c>
      <c r="B64" s="318" t="s">
        <v>521</v>
      </c>
      <c r="C64" s="324"/>
      <c r="D64" s="324">
        <v>1239</v>
      </c>
      <c r="E64" s="451">
        <v>1</v>
      </c>
      <c r="F64" s="455">
        <v>1.306</v>
      </c>
      <c r="G64" s="453">
        <v>8489</v>
      </c>
      <c r="H64" s="407"/>
      <c r="I64" s="317"/>
      <c r="J64" s="317"/>
      <c r="K64" s="317"/>
      <c r="L64" s="317"/>
      <c r="M64" s="317"/>
      <c r="N64" s="337">
        <v>8489</v>
      </c>
      <c r="O64" s="317">
        <v>8489</v>
      </c>
      <c r="P64" s="352">
        <v>101868</v>
      </c>
    </row>
    <row r="65" spans="1:16">
      <c r="A65" s="351">
        <f t="shared" si="1"/>
        <v>4</v>
      </c>
      <c r="B65" s="318" t="s">
        <v>646</v>
      </c>
      <c r="C65" s="324"/>
      <c r="D65" s="324" t="s">
        <v>631</v>
      </c>
      <c r="E65" s="451">
        <v>1</v>
      </c>
      <c r="F65" s="455">
        <v>1.357</v>
      </c>
      <c r="G65" s="454">
        <v>8821</v>
      </c>
      <c r="H65" s="317"/>
      <c r="I65" s="317"/>
      <c r="J65" s="317"/>
      <c r="K65" s="317"/>
      <c r="L65" s="317"/>
      <c r="M65" s="317"/>
      <c r="N65" s="337">
        <v>8821</v>
      </c>
      <c r="O65" s="317">
        <v>8821</v>
      </c>
      <c r="P65" s="352">
        <v>105852</v>
      </c>
    </row>
    <row r="66" spans="1:16">
      <c r="A66" s="351">
        <f t="shared" si="1"/>
        <v>5</v>
      </c>
      <c r="B66" s="318" t="s">
        <v>509</v>
      </c>
      <c r="C66" s="324"/>
      <c r="D66" s="324">
        <v>7141</v>
      </c>
      <c r="E66" s="451">
        <v>1</v>
      </c>
      <c r="F66" s="455">
        <v>1.153</v>
      </c>
      <c r="G66" s="454">
        <v>7495</v>
      </c>
      <c r="H66" s="317"/>
      <c r="I66" s="317"/>
      <c r="J66" s="317"/>
      <c r="K66" s="317"/>
      <c r="L66" s="317"/>
      <c r="M66" s="317"/>
      <c r="N66" s="337">
        <v>7495</v>
      </c>
      <c r="O66" s="317">
        <v>7495</v>
      </c>
      <c r="P66" s="352">
        <v>89940</v>
      </c>
    </row>
    <row r="67" spans="1:16">
      <c r="A67" s="351">
        <f>A66+1</f>
        <v>6</v>
      </c>
      <c r="B67" s="318" t="s">
        <v>647</v>
      </c>
      <c r="C67" s="324"/>
      <c r="D67" s="324">
        <v>5132</v>
      </c>
      <c r="E67" s="451">
        <v>2</v>
      </c>
      <c r="F67" s="455">
        <v>1.1020000000000001</v>
      </c>
      <c r="G67" s="454">
        <v>7163</v>
      </c>
      <c r="H67" s="317"/>
      <c r="I67" s="317"/>
      <c r="J67" s="317"/>
      <c r="K67" s="317"/>
      <c r="L67" s="424" t="s">
        <v>648</v>
      </c>
      <c r="M67" s="317">
        <v>716.30000000000007</v>
      </c>
      <c r="N67" s="337">
        <f>M67+G67</f>
        <v>7879.3</v>
      </c>
      <c r="O67" s="317">
        <f>N67*E67</f>
        <v>15758.6</v>
      </c>
      <c r="P67" s="352">
        <v>283654.80000000005</v>
      </c>
    </row>
    <row r="68" spans="1:16">
      <c r="A68" s="351">
        <f t="shared" si="1"/>
        <v>7</v>
      </c>
      <c r="B68" s="318" t="s">
        <v>649</v>
      </c>
      <c r="C68" s="324"/>
      <c r="D68" s="324">
        <v>7136</v>
      </c>
      <c r="E68" s="451">
        <v>1</v>
      </c>
      <c r="F68" s="455">
        <v>1.153</v>
      </c>
      <c r="G68" s="454">
        <v>7495</v>
      </c>
      <c r="H68" s="317"/>
      <c r="I68" s="317"/>
      <c r="J68" s="317"/>
      <c r="K68" s="317"/>
      <c r="L68" s="317"/>
      <c r="M68" s="317"/>
      <c r="N68" s="337">
        <v>7495</v>
      </c>
      <c r="O68" s="317">
        <v>7495</v>
      </c>
      <c r="P68" s="352">
        <v>89940</v>
      </c>
    </row>
    <row r="69" spans="1:16">
      <c r="A69" s="351">
        <f t="shared" si="1"/>
        <v>8</v>
      </c>
      <c r="B69" s="318" t="s">
        <v>490</v>
      </c>
      <c r="C69" s="324"/>
      <c r="D69" s="324">
        <v>9322</v>
      </c>
      <c r="E69" s="451">
        <v>2</v>
      </c>
      <c r="F69" s="455">
        <v>1</v>
      </c>
      <c r="G69" s="454">
        <v>6500</v>
      </c>
      <c r="H69" s="317"/>
      <c r="I69" s="317"/>
      <c r="J69" s="317"/>
      <c r="K69" s="317"/>
      <c r="L69" s="317"/>
      <c r="M69" s="317"/>
      <c r="N69" s="337">
        <v>6500</v>
      </c>
      <c r="O69" s="317">
        <v>13000</v>
      </c>
      <c r="P69" s="352">
        <v>156000</v>
      </c>
    </row>
    <row r="70" spans="1:16">
      <c r="A70" s="351">
        <f t="shared" si="1"/>
        <v>9</v>
      </c>
      <c r="B70" s="318" t="s">
        <v>557</v>
      </c>
      <c r="C70" s="324"/>
      <c r="D70" s="324">
        <v>4131</v>
      </c>
      <c r="E70" s="451">
        <v>1</v>
      </c>
      <c r="F70" s="455">
        <v>1.153</v>
      </c>
      <c r="G70" s="454">
        <v>7495</v>
      </c>
      <c r="H70" s="317"/>
      <c r="I70" s="317"/>
      <c r="J70" s="317"/>
      <c r="K70" s="317"/>
      <c r="L70" s="317"/>
      <c r="M70" s="317"/>
      <c r="N70" s="337">
        <v>7495</v>
      </c>
      <c r="O70" s="317">
        <v>7495</v>
      </c>
      <c r="P70" s="352">
        <v>89940</v>
      </c>
    </row>
    <row r="71" spans="1:16">
      <c r="A71" s="351">
        <f t="shared" si="1"/>
        <v>10</v>
      </c>
      <c r="B71" s="318" t="s">
        <v>491</v>
      </c>
      <c r="C71" s="324"/>
      <c r="D71" s="324">
        <v>9132</v>
      </c>
      <c r="E71" s="451">
        <v>1</v>
      </c>
      <c r="F71" s="455">
        <v>1</v>
      </c>
      <c r="G71" s="454">
        <v>6500</v>
      </c>
      <c r="H71" s="317"/>
      <c r="I71" s="317"/>
      <c r="J71" s="317"/>
      <c r="K71" s="317"/>
      <c r="L71" s="424" t="s">
        <v>648</v>
      </c>
      <c r="M71" s="317">
        <v>650</v>
      </c>
      <c r="N71" s="337">
        <f>M71+G71</f>
        <v>7150</v>
      </c>
      <c r="O71" s="317">
        <f>N71*E71</f>
        <v>7150</v>
      </c>
      <c r="P71" s="352">
        <v>128700</v>
      </c>
    </row>
    <row r="72" spans="1:16" ht="13.5" thickBot="1">
      <c r="A72" s="351">
        <f t="shared" si="1"/>
        <v>11</v>
      </c>
      <c r="B72" s="318" t="s">
        <v>650</v>
      </c>
      <c r="C72" s="324"/>
      <c r="D72" s="324">
        <v>9162</v>
      </c>
      <c r="E72" s="451">
        <v>1</v>
      </c>
      <c r="F72" s="455">
        <v>1</v>
      </c>
      <c r="G72" s="454">
        <v>6500</v>
      </c>
      <c r="H72" s="317"/>
      <c r="I72" s="317"/>
      <c r="J72" s="317"/>
      <c r="K72" s="317"/>
      <c r="L72" s="317"/>
      <c r="M72" s="317"/>
      <c r="N72" s="337">
        <v>6500</v>
      </c>
      <c r="O72" s="317">
        <f>N72*F72</f>
        <v>6500</v>
      </c>
      <c r="P72" s="352">
        <v>156000</v>
      </c>
    </row>
    <row r="73" spans="1:16" ht="15.75" thickBot="1">
      <c r="A73" s="850" t="s">
        <v>637</v>
      </c>
      <c r="B73" s="851"/>
      <c r="C73" s="851"/>
      <c r="D73" s="852"/>
      <c r="E73" s="347">
        <f>E62+E63+E64+E65+E66+E67+E68+E69+E70+E71+E72</f>
        <v>13</v>
      </c>
      <c r="F73" s="347"/>
      <c r="G73" s="348"/>
      <c r="H73" s="348"/>
      <c r="I73" s="348"/>
      <c r="J73" s="348"/>
      <c r="K73" s="348"/>
      <c r="L73" s="348"/>
      <c r="M73" s="348"/>
      <c r="N73" s="348"/>
      <c r="O73" s="403">
        <f>O62+O63+O64+O65+O66+O67+O68+O69+O70+O71+O72</f>
        <v>102113.60000000001</v>
      </c>
      <c r="P73" s="404">
        <v>1734490.8</v>
      </c>
    </row>
    <row r="74" spans="1:16" ht="15" hidden="1">
      <c r="A74" s="354"/>
      <c r="B74" s="362" t="s">
        <v>632</v>
      </c>
      <c r="C74" s="344"/>
      <c r="D74" s="344"/>
      <c r="E74" s="345"/>
      <c r="F74" s="345"/>
      <c r="G74" s="346"/>
      <c r="H74" s="346"/>
      <c r="I74" s="346"/>
      <c r="J74" s="346"/>
      <c r="K74" s="346"/>
      <c r="L74" s="346"/>
      <c r="M74" s="346"/>
      <c r="N74" s="346"/>
      <c r="O74" s="345"/>
      <c r="P74" s="355"/>
    </row>
    <row r="75" spans="1:16" ht="15" hidden="1">
      <c r="A75" s="356"/>
      <c r="B75" s="363" t="s">
        <v>633</v>
      </c>
      <c r="C75" s="340"/>
      <c r="D75" s="340"/>
      <c r="E75" s="338"/>
      <c r="F75" s="338"/>
      <c r="G75" s="339"/>
      <c r="H75" s="339"/>
      <c r="I75" s="339"/>
      <c r="J75" s="339"/>
      <c r="K75" s="339"/>
      <c r="L75" s="339"/>
      <c r="M75" s="339"/>
      <c r="N75" s="339"/>
      <c r="O75" s="338"/>
      <c r="P75" s="357"/>
    </row>
    <row r="76" spans="1:16" ht="15" hidden="1">
      <c r="A76" s="356"/>
      <c r="B76" s="363" t="s">
        <v>634</v>
      </c>
      <c r="C76" s="340"/>
      <c r="D76" s="340"/>
      <c r="E76" s="338">
        <f>E67</f>
        <v>2</v>
      </c>
      <c r="F76" s="338"/>
      <c r="G76" s="338"/>
      <c r="H76" s="338"/>
      <c r="I76" s="338"/>
      <c r="J76" s="338"/>
      <c r="K76" s="338"/>
      <c r="L76" s="338"/>
      <c r="M76" s="338">
        <v>716.30000000000007</v>
      </c>
      <c r="N76" s="338"/>
      <c r="O76" s="338">
        <f>O67</f>
        <v>15758.6</v>
      </c>
      <c r="P76" s="357">
        <v>283654.80000000005</v>
      </c>
    </row>
    <row r="77" spans="1:16" ht="15.75" hidden="1" thickBot="1">
      <c r="A77" s="401"/>
      <c r="B77" s="388" t="s">
        <v>635</v>
      </c>
      <c r="C77" s="387"/>
      <c r="D77" s="387"/>
      <c r="E77" s="389">
        <f>E73-E67</f>
        <v>11</v>
      </c>
      <c r="F77" s="389"/>
      <c r="G77" s="389"/>
      <c r="H77" s="389"/>
      <c r="I77" s="389"/>
      <c r="J77" s="389"/>
      <c r="K77" s="389"/>
      <c r="L77" s="389"/>
      <c r="M77" s="389"/>
      <c r="N77" s="389"/>
      <c r="O77" s="389">
        <f>O62+O63+O64+O65+O66+O68+O69+O70+O71+O72</f>
        <v>86355</v>
      </c>
      <c r="P77" s="402">
        <v>1450836</v>
      </c>
    </row>
    <row r="78" spans="1:16" ht="15.75" hidden="1" thickBot="1">
      <c r="A78" s="872" t="s">
        <v>651</v>
      </c>
      <c r="B78" s="858"/>
      <c r="C78" s="858"/>
      <c r="D78" s="858"/>
      <c r="E78" s="858"/>
      <c r="F78" s="858"/>
      <c r="G78" s="858"/>
      <c r="H78" s="858"/>
      <c r="I78" s="858"/>
      <c r="J78" s="858"/>
      <c r="K78" s="858"/>
      <c r="L78" s="858"/>
      <c r="M78" s="858"/>
      <c r="N78" s="858"/>
      <c r="O78" s="858"/>
      <c r="P78" s="859"/>
    </row>
    <row r="79" spans="1:16" hidden="1">
      <c r="A79" s="392"/>
      <c r="B79" s="330"/>
      <c r="C79" s="331"/>
      <c r="D79" s="332"/>
      <c r="E79" s="333"/>
      <c r="F79" s="503"/>
      <c r="G79" s="409"/>
      <c r="H79" s="409"/>
      <c r="I79" s="316"/>
      <c r="J79" s="316"/>
      <c r="K79" s="316"/>
      <c r="L79" s="316"/>
      <c r="M79" s="316"/>
      <c r="N79" s="337"/>
      <c r="O79" s="316"/>
      <c r="P79" s="393">
        <v>148980</v>
      </c>
    </row>
    <row r="80" spans="1:16" ht="13.5" hidden="1" thickBot="1">
      <c r="A80" s="394"/>
      <c r="P80" s="411">
        <v>341424</v>
      </c>
    </row>
    <row r="81" spans="1:16" ht="15.75" hidden="1" thickBot="1">
      <c r="A81" s="850"/>
      <c r="B81" s="851"/>
      <c r="C81" s="851"/>
      <c r="D81" s="852"/>
      <c r="E81" s="347"/>
      <c r="F81" s="347"/>
      <c r="G81" s="347"/>
      <c r="H81" s="347"/>
      <c r="I81" s="347"/>
      <c r="J81" s="347"/>
      <c r="K81" s="347"/>
      <c r="L81" s="347"/>
      <c r="M81" s="347"/>
      <c r="N81" s="347"/>
      <c r="O81" s="403"/>
      <c r="P81" s="404">
        <v>490404</v>
      </c>
    </row>
    <row r="82" spans="1:16" ht="15" hidden="1">
      <c r="A82" s="354"/>
      <c r="B82" s="362" t="s">
        <v>632</v>
      </c>
      <c r="C82" s="344"/>
      <c r="D82" s="344"/>
      <c r="E82" s="345"/>
      <c r="F82" s="345"/>
      <c r="G82" s="345"/>
      <c r="H82" s="345"/>
      <c r="I82" s="345"/>
      <c r="J82" s="345"/>
      <c r="K82" s="345"/>
      <c r="L82" s="345"/>
      <c r="M82" s="345"/>
      <c r="N82" s="345"/>
      <c r="O82" s="345"/>
      <c r="P82" s="355"/>
    </row>
    <row r="83" spans="1:16" ht="15" hidden="1">
      <c r="A83" s="356"/>
      <c r="B83" s="363" t="s">
        <v>633</v>
      </c>
      <c r="C83" s="340"/>
      <c r="D83" s="340"/>
      <c r="E83" s="338"/>
      <c r="F83" s="338"/>
      <c r="G83" s="338"/>
      <c r="H83" s="338"/>
      <c r="I83" s="338"/>
      <c r="J83" s="338"/>
      <c r="K83" s="338"/>
      <c r="L83" s="338"/>
      <c r="M83" s="338"/>
      <c r="N83" s="338"/>
      <c r="O83" s="338"/>
      <c r="P83" s="357"/>
    </row>
    <row r="84" spans="1:16" ht="15" hidden="1">
      <c r="A84" s="356"/>
      <c r="B84" s="363" t="s">
        <v>634</v>
      </c>
      <c r="C84" s="340"/>
      <c r="D84" s="340"/>
      <c r="E84" s="338"/>
      <c r="F84" s="338"/>
      <c r="G84" s="338"/>
      <c r="H84" s="338"/>
      <c r="I84" s="338"/>
      <c r="J84" s="338"/>
      <c r="K84" s="338"/>
      <c r="L84" s="338"/>
      <c r="M84" s="338"/>
      <c r="N84" s="338"/>
      <c r="O84" s="338"/>
      <c r="P84" s="357"/>
    </row>
    <row r="85" spans="1:16" ht="15.75" hidden="1" thickBot="1">
      <c r="A85" s="401"/>
      <c r="B85" s="388" t="s">
        <v>635</v>
      </c>
      <c r="C85" s="387"/>
      <c r="D85" s="387"/>
      <c r="E85" s="389"/>
      <c r="F85" s="389"/>
      <c r="G85" s="389"/>
      <c r="H85" s="389"/>
      <c r="I85" s="389"/>
      <c r="J85" s="389"/>
      <c r="K85" s="389"/>
      <c r="L85" s="389"/>
      <c r="M85" s="389"/>
      <c r="N85" s="389"/>
      <c r="O85" s="389"/>
      <c r="P85" s="402">
        <v>490404</v>
      </c>
    </row>
    <row r="86" spans="1:16" ht="15.75" thickBot="1">
      <c r="A86" s="872" t="s">
        <v>652</v>
      </c>
      <c r="B86" s="858"/>
      <c r="C86" s="858"/>
      <c r="D86" s="858"/>
      <c r="E86" s="858"/>
      <c r="F86" s="858"/>
      <c r="G86" s="858"/>
      <c r="H86" s="858"/>
      <c r="I86" s="858"/>
      <c r="J86" s="858"/>
      <c r="K86" s="858"/>
      <c r="L86" s="858"/>
      <c r="M86" s="858"/>
      <c r="N86" s="858"/>
      <c r="O86" s="890"/>
      <c r="P86" s="859"/>
    </row>
    <row r="87" spans="1:16">
      <c r="A87" s="349">
        <v>1</v>
      </c>
      <c r="B87" s="330" t="s">
        <v>639</v>
      </c>
      <c r="C87" s="331"/>
      <c r="D87" s="332" t="s">
        <v>629</v>
      </c>
      <c r="E87" s="333">
        <v>1</v>
      </c>
      <c r="F87" s="503">
        <v>1.91</v>
      </c>
      <c r="G87" s="409">
        <v>12415</v>
      </c>
      <c r="H87" s="409"/>
      <c r="I87" s="316"/>
      <c r="J87" s="316"/>
      <c r="K87" s="316"/>
      <c r="L87" s="316"/>
      <c r="M87" s="316"/>
      <c r="N87" s="337">
        <v>12415</v>
      </c>
      <c r="O87" s="337">
        <v>12415</v>
      </c>
      <c r="P87" s="543">
        <v>148980</v>
      </c>
    </row>
    <row r="88" spans="1:16">
      <c r="A88" s="375">
        <v>2</v>
      </c>
      <c r="B88" s="497" t="s">
        <v>522</v>
      </c>
      <c r="C88" s="370"/>
      <c r="D88" s="342">
        <v>3121</v>
      </c>
      <c r="E88" s="493">
        <v>2</v>
      </c>
      <c r="F88" s="482">
        <v>1.4079999999999999</v>
      </c>
      <c r="G88" s="470">
        <v>9152</v>
      </c>
      <c r="H88" s="343"/>
      <c r="I88" s="343"/>
      <c r="J88" s="343"/>
      <c r="K88" s="343"/>
      <c r="L88" s="343"/>
      <c r="M88" s="343"/>
      <c r="N88" s="366">
        <f>G88</f>
        <v>9152</v>
      </c>
      <c r="O88" s="337">
        <v>18304</v>
      </c>
      <c r="P88" s="576">
        <v>219648</v>
      </c>
    </row>
    <row r="89" spans="1:16" ht="13.5" thickBot="1">
      <c r="A89" s="394">
        <v>3</v>
      </c>
      <c r="B89" s="497" t="s">
        <v>485</v>
      </c>
      <c r="C89" s="370"/>
      <c r="D89" s="373" t="s">
        <v>654</v>
      </c>
      <c r="E89" s="372">
        <v>6</v>
      </c>
      <c r="F89" s="503">
        <v>1.153</v>
      </c>
      <c r="G89" s="317">
        <v>7495</v>
      </c>
      <c r="H89" s="343"/>
      <c r="I89" s="343"/>
      <c r="J89" s="343"/>
      <c r="K89" s="343"/>
      <c r="L89" s="343"/>
      <c r="M89" s="343"/>
      <c r="N89" s="337">
        <v>7495</v>
      </c>
      <c r="O89" s="337">
        <v>44970</v>
      </c>
      <c r="P89" s="492">
        <v>539640</v>
      </c>
    </row>
    <row r="90" spans="1:16" ht="15.75" thickBot="1">
      <c r="A90" s="850" t="s">
        <v>637</v>
      </c>
      <c r="B90" s="851"/>
      <c r="C90" s="851"/>
      <c r="D90" s="852"/>
      <c r="E90" s="347">
        <f>SUM(E87:E89)</f>
        <v>9</v>
      </c>
      <c r="F90" s="347"/>
      <c r="G90" s="348"/>
      <c r="H90" s="348"/>
      <c r="I90" s="348"/>
      <c r="J90" s="348"/>
      <c r="K90" s="348"/>
      <c r="L90" s="348"/>
      <c r="M90" s="348"/>
      <c r="N90" s="348"/>
      <c r="O90" s="427">
        <f>O87+O88+O89</f>
        <v>75689</v>
      </c>
      <c r="P90" s="495">
        <v>662316</v>
      </c>
    </row>
    <row r="91" spans="1:16" ht="15" hidden="1">
      <c r="A91" s="354"/>
      <c r="B91" s="362" t="s">
        <v>632</v>
      </c>
      <c r="C91" s="344"/>
      <c r="D91" s="344"/>
      <c r="E91" s="345"/>
      <c r="F91" s="345"/>
      <c r="G91" s="346"/>
      <c r="H91" s="346"/>
      <c r="I91" s="346"/>
      <c r="J91" s="346"/>
      <c r="K91" s="346"/>
      <c r="L91" s="346"/>
      <c r="M91" s="346"/>
      <c r="N91" s="346"/>
      <c r="O91" s="345"/>
      <c r="P91" s="355"/>
    </row>
    <row r="92" spans="1:16" ht="15" hidden="1">
      <c r="A92" s="356"/>
      <c r="B92" s="363" t="s">
        <v>633</v>
      </c>
      <c r="C92" s="340"/>
      <c r="D92" s="340"/>
      <c r="E92" s="338"/>
      <c r="F92" s="338"/>
      <c r="G92" s="339"/>
      <c r="H92" s="339"/>
      <c r="I92" s="339"/>
      <c r="J92" s="339"/>
      <c r="K92" s="339"/>
      <c r="L92" s="339"/>
      <c r="M92" s="339"/>
      <c r="N92" s="339"/>
      <c r="O92" s="338"/>
      <c r="P92" s="357"/>
    </row>
    <row r="93" spans="1:16" ht="15" hidden="1">
      <c r="A93" s="356"/>
      <c r="B93" s="363" t="s">
        <v>634</v>
      </c>
      <c r="C93" s="340"/>
      <c r="D93" s="340"/>
      <c r="E93" s="338"/>
      <c r="F93" s="338"/>
      <c r="G93" s="339"/>
      <c r="H93" s="339"/>
      <c r="I93" s="339"/>
      <c r="J93" s="339"/>
      <c r="K93" s="339"/>
      <c r="L93" s="339"/>
      <c r="M93" s="339"/>
      <c r="N93" s="339"/>
      <c r="O93" s="338"/>
      <c r="P93" s="357"/>
    </row>
    <row r="94" spans="1:16" ht="15.75" hidden="1" thickBot="1">
      <c r="A94" s="401"/>
      <c r="B94" s="388" t="s">
        <v>635</v>
      </c>
      <c r="C94" s="387"/>
      <c r="D94" s="387"/>
      <c r="E94" s="389">
        <f>E90</f>
        <v>9</v>
      </c>
      <c r="F94" s="389"/>
      <c r="G94" s="389"/>
      <c r="H94" s="389"/>
      <c r="I94" s="389"/>
      <c r="J94" s="389"/>
      <c r="K94" s="389"/>
      <c r="L94" s="389"/>
      <c r="M94" s="389"/>
      <c r="N94" s="389"/>
      <c r="O94" s="389">
        <f>O90</f>
        <v>75689</v>
      </c>
      <c r="P94" s="402">
        <v>662316</v>
      </c>
    </row>
    <row r="95" spans="1:16" ht="16.5" thickBot="1">
      <c r="A95" s="883" t="s">
        <v>655</v>
      </c>
      <c r="B95" s="858"/>
      <c r="C95" s="858"/>
      <c r="D95" s="858"/>
      <c r="E95" s="858"/>
      <c r="F95" s="858"/>
      <c r="G95" s="858"/>
      <c r="H95" s="858"/>
      <c r="I95" s="858"/>
      <c r="J95" s="858"/>
      <c r="K95" s="858"/>
      <c r="L95" s="858"/>
      <c r="M95" s="858"/>
      <c r="N95" s="858"/>
      <c r="O95" s="858"/>
      <c r="P95" s="859"/>
    </row>
    <row r="96" spans="1:16">
      <c r="A96" s="349">
        <v>1</v>
      </c>
      <c r="B96" s="314" t="s">
        <v>639</v>
      </c>
      <c r="C96" s="441"/>
      <c r="D96" s="332" t="s">
        <v>629</v>
      </c>
      <c r="E96" s="333">
        <v>1</v>
      </c>
      <c r="F96" s="503">
        <v>1.91</v>
      </c>
      <c r="G96" s="409">
        <v>12415</v>
      </c>
      <c r="H96" s="409"/>
      <c r="I96" s="316"/>
      <c r="J96" s="316"/>
      <c r="K96" s="316"/>
      <c r="L96" s="316"/>
      <c r="M96" s="316"/>
      <c r="N96" s="337">
        <v>12415</v>
      </c>
      <c r="O96" s="316">
        <v>12415</v>
      </c>
      <c r="P96" s="350">
        <v>148980</v>
      </c>
    </row>
    <row r="97" spans="1:16">
      <c r="A97" s="351">
        <v>2</v>
      </c>
      <c r="B97" s="318" t="s">
        <v>656</v>
      </c>
      <c r="C97" s="320" t="s">
        <v>657</v>
      </c>
      <c r="D97" s="320">
        <v>8322</v>
      </c>
      <c r="E97" s="451">
        <f>6+2-1</f>
        <v>7</v>
      </c>
      <c r="F97" s="455">
        <v>1.153</v>
      </c>
      <c r="G97" s="454">
        <v>7495</v>
      </c>
      <c r="H97" s="317"/>
      <c r="I97" s="317"/>
      <c r="J97" s="317"/>
      <c r="K97" s="317"/>
      <c r="L97" s="317"/>
      <c r="M97" s="317"/>
      <c r="N97" s="337">
        <v>7495</v>
      </c>
      <c r="O97" s="317">
        <f>N97*E97</f>
        <v>52465</v>
      </c>
      <c r="P97" s="352">
        <v>539640</v>
      </c>
    </row>
    <row r="98" spans="1:16" ht="25.5">
      <c r="A98" s="351">
        <v>3</v>
      </c>
      <c r="B98" s="318" t="s">
        <v>656</v>
      </c>
      <c r="C98" s="324" t="s">
        <v>555</v>
      </c>
      <c r="D98" s="324">
        <v>8322</v>
      </c>
      <c r="E98" s="451">
        <v>4</v>
      </c>
      <c r="F98" s="455">
        <v>1.1020000000000001</v>
      </c>
      <c r="G98" s="454">
        <v>7163</v>
      </c>
      <c r="H98" s="317"/>
      <c r="I98" s="317"/>
      <c r="J98" s="317"/>
      <c r="K98" s="317"/>
      <c r="L98" s="317"/>
      <c r="M98" s="317"/>
      <c r="N98" s="337">
        <v>7163</v>
      </c>
      <c r="O98" s="317">
        <f>E98*G98</f>
        <v>28652</v>
      </c>
      <c r="P98" s="352">
        <v>515736</v>
      </c>
    </row>
    <row r="99" spans="1:16">
      <c r="A99" s="351">
        <v>4</v>
      </c>
      <c r="B99" s="318" t="s">
        <v>656</v>
      </c>
      <c r="C99" s="324" t="s">
        <v>658</v>
      </c>
      <c r="D99" s="324">
        <v>8322</v>
      </c>
      <c r="E99" s="451">
        <v>2</v>
      </c>
      <c r="F99" s="455">
        <v>1.0509999999999999</v>
      </c>
      <c r="G99" s="454">
        <v>6832</v>
      </c>
      <c r="H99" s="317"/>
      <c r="I99" s="317"/>
      <c r="J99" s="317"/>
      <c r="K99" s="317"/>
      <c r="L99" s="317"/>
      <c r="M99" s="317"/>
      <c r="N99" s="337">
        <v>6832</v>
      </c>
      <c r="O99" s="317">
        <f>E99*G99</f>
        <v>13664</v>
      </c>
      <c r="P99" s="352">
        <v>163968</v>
      </c>
    </row>
    <row r="100" spans="1:16">
      <c r="A100" s="351">
        <v>5</v>
      </c>
      <c r="B100" s="318" t="s">
        <v>487</v>
      </c>
      <c r="C100" s="324"/>
      <c r="D100" s="324">
        <v>3119</v>
      </c>
      <c r="E100" s="451">
        <v>1</v>
      </c>
      <c r="F100" s="455">
        <v>1.204</v>
      </c>
      <c r="G100" s="454">
        <v>7826</v>
      </c>
      <c r="H100" s="317"/>
      <c r="I100" s="317"/>
      <c r="J100" s="317"/>
      <c r="K100" s="317"/>
      <c r="L100" s="317"/>
      <c r="M100" s="317"/>
      <c r="N100" s="337">
        <v>7826</v>
      </c>
      <c r="O100" s="317">
        <v>7826</v>
      </c>
      <c r="P100" s="352">
        <v>93912</v>
      </c>
    </row>
    <row r="101" spans="1:16">
      <c r="A101" s="351">
        <v>6</v>
      </c>
      <c r="B101" s="318" t="s">
        <v>489</v>
      </c>
      <c r="C101" s="324"/>
      <c r="D101" s="324">
        <v>7231</v>
      </c>
      <c r="E101" s="451">
        <v>1</v>
      </c>
      <c r="F101" s="455">
        <v>1.153</v>
      </c>
      <c r="G101" s="454">
        <v>7495</v>
      </c>
      <c r="H101" s="317"/>
      <c r="I101" s="317"/>
      <c r="J101" s="317"/>
      <c r="K101" s="317"/>
      <c r="L101" s="317"/>
      <c r="M101" s="317"/>
      <c r="N101" s="337">
        <v>7495</v>
      </c>
      <c r="O101" s="317">
        <v>7495</v>
      </c>
      <c r="P101" s="352">
        <v>89940</v>
      </c>
    </row>
    <row r="102" spans="1:16" ht="13.5" thickBot="1">
      <c r="A102" s="375">
        <v>7</v>
      </c>
      <c r="B102" s="341" t="s">
        <v>659</v>
      </c>
      <c r="C102" s="342"/>
      <c r="D102" s="342">
        <v>3221</v>
      </c>
      <c r="E102" s="343">
        <v>1</v>
      </c>
      <c r="F102" s="503">
        <v>1.306</v>
      </c>
      <c r="G102" s="317">
        <v>8489</v>
      </c>
      <c r="H102" s="343"/>
      <c r="I102" s="343"/>
      <c r="J102" s="343"/>
      <c r="K102" s="343"/>
      <c r="L102" s="343"/>
      <c r="M102" s="343"/>
      <c r="N102" s="337">
        <v>8489</v>
      </c>
      <c r="O102" s="317">
        <v>8489</v>
      </c>
      <c r="P102" s="353">
        <v>101868</v>
      </c>
    </row>
    <row r="103" spans="1:16" ht="15.75" thickBot="1">
      <c r="A103" s="850" t="s">
        <v>637</v>
      </c>
      <c r="B103" s="851"/>
      <c r="C103" s="851"/>
      <c r="D103" s="852"/>
      <c r="E103" s="347">
        <f>E96+E97+E98+E99+E100+E101+E102</f>
        <v>17</v>
      </c>
      <c r="F103" s="347"/>
      <c r="G103" s="348"/>
      <c r="H103" s="348"/>
      <c r="I103" s="348"/>
      <c r="J103" s="348"/>
      <c r="K103" s="348"/>
      <c r="L103" s="348"/>
      <c r="M103" s="348"/>
      <c r="N103" s="348"/>
      <c r="O103" s="403">
        <f>SUM(O96:O102)</f>
        <v>131006</v>
      </c>
      <c r="P103" s="404">
        <v>1654044</v>
      </c>
    </row>
    <row r="104" spans="1:16" ht="15" hidden="1">
      <c r="A104" s="354"/>
      <c r="B104" s="362" t="s">
        <v>632</v>
      </c>
      <c r="C104" s="344"/>
      <c r="D104" s="344"/>
      <c r="E104" s="345"/>
      <c r="F104" s="345"/>
      <c r="G104" s="346"/>
      <c r="H104" s="346"/>
      <c r="I104" s="346"/>
      <c r="J104" s="346"/>
      <c r="K104" s="346"/>
      <c r="L104" s="346"/>
      <c r="M104" s="346"/>
      <c r="N104" s="346"/>
      <c r="O104" s="345"/>
      <c r="P104" s="355"/>
    </row>
    <row r="105" spans="1:16" ht="15" hidden="1">
      <c r="A105" s="356"/>
      <c r="B105" s="363" t="s">
        <v>633</v>
      </c>
      <c r="C105" s="340"/>
      <c r="D105" s="340"/>
      <c r="E105" s="338">
        <v>1</v>
      </c>
      <c r="F105" s="338"/>
      <c r="G105" s="338"/>
      <c r="H105" s="338"/>
      <c r="I105" s="338"/>
      <c r="J105" s="338"/>
      <c r="K105" s="338"/>
      <c r="L105" s="338"/>
      <c r="M105" s="338"/>
      <c r="N105" s="338"/>
      <c r="O105" s="338">
        <v>8489</v>
      </c>
      <c r="P105" s="357">
        <v>101868</v>
      </c>
    </row>
    <row r="106" spans="1:16" ht="15" hidden="1">
      <c r="A106" s="356"/>
      <c r="B106" s="363" t="s">
        <v>634</v>
      </c>
      <c r="C106" s="340"/>
      <c r="D106" s="340"/>
      <c r="E106" s="338"/>
      <c r="F106" s="338"/>
      <c r="G106" s="339"/>
      <c r="H106" s="339"/>
      <c r="I106" s="339"/>
      <c r="J106" s="339"/>
      <c r="K106" s="339"/>
      <c r="L106" s="339"/>
      <c r="M106" s="339"/>
      <c r="N106" s="339"/>
      <c r="O106" s="338"/>
      <c r="P106" s="357"/>
    </row>
    <row r="107" spans="1:16" ht="15.75" hidden="1" thickBot="1">
      <c r="A107" s="401"/>
      <c r="B107" s="388" t="s">
        <v>635</v>
      </c>
      <c r="C107" s="387"/>
      <c r="D107" s="387"/>
      <c r="E107" s="389">
        <f>E103-E105</f>
        <v>16</v>
      </c>
      <c r="F107" s="389"/>
      <c r="G107" s="389"/>
      <c r="H107" s="389"/>
      <c r="I107" s="389"/>
      <c r="J107" s="389"/>
      <c r="K107" s="389"/>
      <c r="L107" s="389"/>
      <c r="M107" s="389"/>
      <c r="N107" s="389"/>
      <c r="O107" s="389">
        <f>O101+O100+O99+O98+O97+O96</f>
        <v>122517</v>
      </c>
      <c r="P107" s="402">
        <v>1552176</v>
      </c>
    </row>
    <row r="108" spans="1:16" ht="16.5" thickBot="1">
      <c r="A108" s="883" t="s">
        <v>660</v>
      </c>
      <c r="B108" s="858"/>
      <c r="C108" s="858"/>
      <c r="D108" s="858"/>
      <c r="E108" s="858"/>
      <c r="F108" s="858"/>
      <c r="G108" s="858"/>
      <c r="H108" s="858"/>
      <c r="I108" s="858"/>
      <c r="J108" s="858"/>
      <c r="K108" s="858"/>
      <c r="L108" s="858"/>
      <c r="M108" s="858"/>
      <c r="N108" s="858"/>
      <c r="O108" s="858"/>
      <c r="P108" s="859"/>
    </row>
    <row r="109" spans="1:16">
      <c r="A109" s="349">
        <v>2</v>
      </c>
      <c r="B109" s="330" t="s">
        <v>720</v>
      </c>
      <c r="C109" s="331" t="s">
        <v>559</v>
      </c>
      <c r="D109" s="534" t="s">
        <v>721</v>
      </c>
      <c r="E109" s="535">
        <v>1</v>
      </c>
      <c r="F109" s="482">
        <v>1.6684000000000001</v>
      </c>
      <c r="G109" s="536">
        <v>10845</v>
      </c>
      <c r="H109" s="537"/>
      <c r="I109" s="316"/>
      <c r="J109" s="316"/>
      <c r="K109" s="316"/>
      <c r="L109" s="316"/>
      <c r="M109" s="316"/>
      <c r="N109" s="337">
        <f t="shared" ref="N109:N120" si="2">G109</f>
        <v>10845</v>
      </c>
      <c r="O109" s="316">
        <f>N109*E109</f>
        <v>10845</v>
      </c>
      <c r="P109" s="393"/>
    </row>
    <row r="110" spans="1:16">
      <c r="A110" s="349">
        <v>3</v>
      </c>
      <c r="B110" s="330" t="s">
        <v>720</v>
      </c>
      <c r="C110" s="532" t="s">
        <v>560</v>
      </c>
      <c r="D110" s="538" t="s">
        <v>721</v>
      </c>
      <c r="E110" s="494">
        <v>1</v>
      </c>
      <c r="F110" s="455">
        <v>1.5389999999999999</v>
      </c>
      <c r="G110" s="462">
        <v>10004</v>
      </c>
      <c r="H110" s="462"/>
      <c r="I110" s="533"/>
      <c r="J110" s="316"/>
      <c r="K110" s="316"/>
      <c r="L110" s="316"/>
      <c r="M110" s="316"/>
      <c r="N110" s="337">
        <f t="shared" si="2"/>
        <v>10004</v>
      </c>
      <c r="O110" s="316">
        <f t="shared" ref="O110:O115" si="3">N110*E110</f>
        <v>10004</v>
      </c>
      <c r="P110" s="393"/>
    </row>
    <row r="111" spans="1:16">
      <c r="A111" s="349">
        <v>4</v>
      </c>
      <c r="B111" s="330" t="s">
        <v>720</v>
      </c>
      <c r="C111" s="532" t="s">
        <v>556</v>
      </c>
      <c r="D111" s="538" t="s">
        <v>721</v>
      </c>
      <c r="E111" s="494">
        <v>1</v>
      </c>
      <c r="F111" s="455">
        <v>1.4590000000000001</v>
      </c>
      <c r="G111" s="462">
        <v>9484</v>
      </c>
      <c r="H111" s="462"/>
      <c r="I111" s="533"/>
      <c r="J111" s="316"/>
      <c r="K111" s="316"/>
      <c r="L111" s="316"/>
      <c r="M111" s="316"/>
      <c r="N111" s="337">
        <f t="shared" si="2"/>
        <v>9484</v>
      </c>
      <c r="O111" s="316">
        <f t="shared" si="3"/>
        <v>9484</v>
      </c>
      <c r="P111" s="393"/>
    </row>
    <row r="112" spans="1:16" ht="25.5">
      <c r="A112" s="349">
        <v>5</v>
      </c>
      <c r="B112" s="331" t="s">
        <v>729</v>
      </c>
      <c r="C112" s="539" t="s">
        <v>559</v>
      </c>
      <c r="D112" s="540">
        <v>3229</v>
      </c>
      <c r="E112" s="535">
        <f>1+1</f>
        <v>2</v>
      </c>
      <c r="F112" s="482">
        <v>1.4590000000000001</v>
      </c>
      <c r="G112" s="536">
        <v>9484</v>
      </c>
      <c r="H112" s="536"/>
      <c r="I112" s="541"/>
      <c r="J112" s="316"/>
      <c r="K112" s="316"/>
      <c r="L112" s="316"/>
      <c r="M112" s="316"/>
      <c r="N112" s="337">
        <f t="shared" si="2"/>
        <v>9484</v>
      </c>
      <c r="O112" s="316">
        <f t="shared" si="3"/>
        <v>18968</v>
      </c>
      <c r="P112" s="393"/>
    </row>
    <row r="113" spans="1:16" ht="25.5">
      <c r="A113" s="416">
        <v>6</v>
      </c>
      <c r="B113" s="331" t="s">
        <v>729</v>
      </c>
      <c r="C113" s="544" t="s">
        <v>673</v>
      </c>
      <c r="D113" s="540">
        <v>3229</v>
      </c>
      <c r="E113" s="535">
        <v>1</v>
      </c>
      <c r="F113" s="482">
        <v>1.4079999999999999</v>
      </c>
      <c r="G113" s="536">
        <v>9152</v>
      </c>
      <c r="H113" s="536"/>
      <c r="I113" s="366"/>
      <c r="J113" s="541"/>
      <c r="K113" s="414"/>
      <c r="L113" s="414"/>
      <c r="M113" s="414"/>
      <c r="N113" s="337">
        <f t="shared" si="2"/>
        <v>9152</v>
      </c>
      <c r="O113" s="316">
        <f t="shared" si="3"/>
        <v>9152</v>
      </c>
      <c r="P113" s="393"/>
    </row>
    <row r="114" spans="1:16" ht="27.75" customHeight="1">
      <c r="A114" s="349">
        <v>8</v>
      </c>
      <c r="B114" s="331" t="s">
        <v>729</v>
      </c>
      <c r="C114" s="545" t="s">
        <v>556</v>
      </c>
      <c r="D114" s="546">
        <v>3229</v>
      </c>
      <c r="E114" s="547">
        <v>1</v>
      </c>
      <c r="F114" s="499">
        <v>1.306</v>
      </c>
      <c r="G114" s="438">
        <v>8489</v>
      </c>
      <c r="H114" s="438"/>
      <c r="I114" s="542"/>
      <c r="J114" s="542"/>
      <c r="K114" s="542"/>
      <c r="L114" s="542"/>
      <c r="M114" s="542"/>
      <c r="N114" s="337">
        <f t="shared" si="2"/>
        <v>8489</v>
      </c>
      <c r="O114" s="337">
        <f t="shared" si="3"/>
        <v>8489</v>
      </c>
      <c r="P114" s="543"/>
    </row>
    <row r="115" spans="1:16" s="522" customFormat="1" ht="27.75" customHeight="1">
      <c r="A115" s="349">
        <v>9</v>
      </c>
      <c r="B115" s="557" t="s">
        <v>722</v>
      </c>
      <c r="C115" s="557" t="s">
        <v>556</v>
      </c>
      <c r="D115" s="538">
        <v>3229</v>
      </c>
      <c r="E115" s="494">
        <v>1</v>
      </c>
      <c r="F115" s="558">
        <v>1.306</v>
      </c>
      <c r="G115" s="494">
        <v>8489</v>
      </c>
      <c r="H115" s="494"/>
      <c r="I115" s="494"/>
      <c r="J115" s="494"/>
      <c r="K115" s="494"/>
      <c r="L115" s="494"/>
      <c r="M115" s="494"/>
      <c r="N115" s="494">
        <f>G115</f>
        <v>8489</v>
      </c>
      <c r="O115" s="494">
        <f t="shared" si="3"/>
        <v>8489</v>
      </c>
      <c r="P115" s="559"/>
    </row>
    <row r="116" spans="1:16">
      <c r="A116" s="349">
        <v>10</v>
      </c>
      <c r="B116" s="330" t="s">
        <v>661</v>
      </c>
      <c r="C116" s="331"/>
      <c r="D116" s="441">
        <v>3231</v>
      </c>
      <c r="E116" s="530">
        <v>1</v>
      </c>
      <c r="F116" s="499">
        <v>1.4590000000000001</v>
      </c>
      <c r="G116" s="500">
        <v>9484</v>
      </c>
      <c r="H116" s="409"/>
      <c r="I116" s="316"/>
      <c r="J116" s="445" t="s">
        <v>667</v>
      </c>
      <c r="K116" s="316">
        <f>G116*J116</f>
        <v>4267.8</v>
      </c>
      <c r="L116" s="316"/>
      <c r="M116" s="316"/>
      <c r="N116" s="494">
        <f>G116+K116</f>
        <v>13751.8</v>
      </c>
      <c r="O116" s="316">
        <f>N116</f>
        <v>13751.8</v>
      </c>
      <c r="P116" s="395">
        <v>176402.40000000002</v>
      </c>
    </row>
    <row r="117" spans="1:16">
      <c r="A117" s="349">
        <v>11</v>
      </c>
      <c r="B117" s="318" t="s">
        <v>663</v>
      </c>
      <c r="C117" s="557" t="s">
        <v>556</v>
      </c>
      <c r="D117" s="324">
        <v>3231</v>
      </c>
      <c r="E117" s="451">
        <v>2</v>
      </c>
      <c r="F117" s="455">
        <v>1.306</v>
      </c>
      <c r="G117" s="453">
        <v>8489</v>
      </c>
      <c r="H117" s="407"/>
      <c r="I117" s="317"/>
      <c r="J117" s="317"/>
      <c r="K117" s="317"/>
      <c r="L117" s="317"/>
      <c r="M117" s="317"/>
      <c r="N117" s="494">
        <f t="shared" si="2"/>
        <v>8489</v>
      </c>
      <c r="O117" s="317">
        <f>E117*G117</f>
        <v>16978</v>
      </c>
      <c r="P117" s="352">
        <v>713076</v>
      </c>
    </row>
    <row r="118" spans="1:16" ht="25.5">
      <c r="A118" s="349">
        <v>12</v>
      </c>
      <c r="B118" s="365" t="s">
        <v>723</v>
      </c>
      <c r="C118" s="324"/>
      <c r="D118" s="324">
        <v>5132</v>
      </c>
      <c r="E118" s="451">
        <v>1</v>
      </c>
      <c r="F118" s="455">
        <v>1.1020000000000001</v>
      </c>
      <c r="G118" s="453">
        <v>7163</v>
      </c>
      <c r="H118" s="407"/>
      <c r="I118" s="317"/>
      <c r="J118" s="317"/>
      <c r="K118" s="317"/>
      <c r="L118" s="424" t="s">
        <v>648</v>
      </c>
      <c r="M118" s="317">
        <f>G118*L118</f>
        <v>716.30000000000007</v>
      </c>
      <c r="N118" s="494">
        <f>G118+M118</f>
        <v>7879.3</v>
      </c>
      <c r="O118" s="317">
        <f>(G118+M118)*E118</f>
        <v>7879.3</v>
      </c>
      <c r="P118" s="352"/>
    </row>
    <row r="119" spans="1:16">
      <c r="A119" s="349">
        <v>13</v>
      </c>
      <c r="B119" s="318" t="s">
        <v>523</v>
      </c>
      <c r="C119" s="324"/>
      <c r="D119" s="324">
        <v>3119</v>
      </c>
      <c r="E119" s="451">
        <v>1</v>
      </c>
      <c r="F119" s="455">
        <v>1.4079999999999999</v>
      </c>
      <c r="G119" s="454">
        <v>9152</v>
      </c>
      <c r="H119" s="317"/>
      <c r="I119" s="317"/>
      <c r="J119" s="317"/>
      <c r="K119" s="317"/>
      <c r="L119" s="317"/>
      <c r="M119" s="317"/>
      <c r="N119" s="494">
        <f t="shared" si="2"/>
        <v>9152</v>
      </c>
      <c r="O119" s="317">
        <f>E119*G119</f>
        <v>9152</v>
      </c>
      <c r="P119" s="352">
        <v>109824</v>
      </c>
    </row>
    <row r="120" spans="1:16" ht="13.5" thickBot="1">
      <c r="A120" s="349">
        <v>14</v>
      </c>
      <c r="B120" s="341" t="s">
        <v>664</v>
      </c>
      <c r="C120" s="342"/>
      <c r="D120" s="342">
        <v>3228</v>
      </c>
      <c r="E120" s="343">
        <v>2</v>
      </c>
      <c r="F120" s="503">
        <v>1.4079999999999999</v>
      </c>
      <c r="G120" s="317">
        <v>9152</v>
      </c>
      <c r="H120" s="343"/>
      <c r="I120" s="343"/>
      <c r="J120" s="343"/>
      <c r="K120" s="343"/>
      <c r="L120" s="343"/>
      <c r="M120" s="343"/>
      <c r="N120" s="494">
        <f t="shared" si="2"/>
        <v>9152</v>
      </c>
      <c r="O120" s="317">
        <f>E120*G120</f>
        <v>18304</v>
      </c>
      <c r="P120" s="353">
        <v>219648</v>
      </c>
    </row>
    <row r="121" spans="1:16" ht="15.75" thickBot="1">
      <c r="A121" s="850" t="s">
        <v>637</v>
      </c>
      <c r="B121" s="851"/>
      <c r="C121" s="851"/>
      <c r="D121" s="852"/>
      <c r="E121" s="347">
        <f>SUM(E109:E120)</f>
        <v>15</v>
      </c>
      <c r="F121" s="347"/>
      <c r="G121" s="347"/>
      <c r="H121" s="347"/>
      <c r="I121" s="347"/>
      <c r="J121" s="347"/>
      <c r="K121" s="347"/>
      <c r="L121" s="347"/>
      <c r="M121" s="347"/>
      <c r="N121" s="347"/>
      <c r="O121" s="556">
        <f>SUM(O109:O120)</f>
        <v>141496.1</v>
      </c>
      <c r="P121" s="404">
        <v>1763952</v>
      </c>
    </row>
    <row r="122" spans="1:16" ht="15" hidden="1">
      <c r="A122" s="354"/>
      <c r="B122" s="362" t="s">
        <v>632</v>
      </c>
      <c r="C122" s="344"/>
      <c r="D122" s="344"/>
      <c r="E122" s="345"/>
      <c r="F122" s="345"/>
      <c r="G122" s="345"/>
      <c r="H122" s="345"/>
      <c r="I122" s="345"/>
      <c r="J122" s="345"/>
      <c r="K122" s="345"/>
      <c r="L122" s="345"/>
      <c r="M122" s="345"/>
      <c r="N122" s="345"/>
      <c r="O122" s="345"/>
      <c r="P122" s="355"/>
    </row>
    <row r="123" spans="1:16" ht="15" hidden="1">
      <c r="A123" s="356"/>
      <c r="B123" s="363" t="s">
        <v>633</v>
      </c>
      <c r="C123" s="340"/>
      <c r="D123" s="340"/>
      <c r="E123" s="338">
        <f>E112+E113+E114+E115+E116+E117+E120</f>
        <v>10</v>
      </c>
      <c r="F123" s="338"/>
      <c r="G123" s="338"/>
      <c r="H123" s="338"/>
      <c r="I123" s="338"/>
      <c r="J123" s="338"/>
      <c r="K123" s="338">
        <f>K116</f>
        <v>4267.8</v>
      </c>
      <c r="L123" s="338"/>
      <c r="M123" s="338">
        <f>M118</f>
        <v>716.30000000000007</v>
      </c>
      <c r="N123" s="338"/>
      <c r="O123" s="338">
        <f>O112+O113+O114+O115+O116+O117+O120</f>
        <v>94131.8</v>
      </c>
      <c r="P123" s="357" t="e">
        <v>#REF!</v>
      </c>
    </row>
    <row r="124" spans="1:16" ht="15" hidden="1">
      <c r="A124" s="356"/>
      <c r="B124" s="363" t="s">
        <v>634</v>
      </c>
      <c r="C124" s="340"/>
      <c r="D124" s="340"/>
      <c r="E124" s="338">
        <f>E118</f>
        <v>1</v>
      </c>
      <c r="F124" s="338"/>
      <c r="G124" s="338"/>
      <c r="H124" s="338"/>
      <c r="I124" s="338"/>
      <c r="J124" s="338"/>
      <c r="K124" s="338"/>
      <c r="L124" s="338"/>
      <c r="M124" s="338"/>
      <c r="N124" s="338"/>
      <c r="O124" s="338">
        <f>O118</f>
        <v>7879.3</v>
      </c>
      <c r="P124" s="357"/>
    </row>
    <row r="125" spans="1:16" ht="15.75" hidden="1" thickBot="1">
      <c r="A125" s="401"/>
      <c r="B125" s="388" t="s">
        <v>635</v>
      </c>
      <c r="C125" s="387"/>
      <c r="D125" s="387"/>
      <c r="E125" s="389">
        <f>E109+E110+E111+E119</f>
        <v>4</v>
      </c>
      <c r="F125" s="389"/>
      <c r="G125" s="389"/>
      <c r="H125" s="389"/>
      <c r="I125" s="389"/>
      <c r="J125" s="389"/>
      <c r="K125" s="389"/>
      <c r="L125" s="389"/>
      <c r="M125" s="389"/>
      <c r="N125" s="389"/>
      <c r="O125" s="389">
        <f>O109+O110+O111+O119</f>
        <v>39485</v>
      </c>
      <c r="P125" s="402" t="e">
        <v>#REF!</v>
      </c>
    </row>
    <row r="126" spans="1:16" ht="16.5" thickBot="1">
      <c r="A126" s="883" t="s">
        <v>665</v>
      </c>
      <c r="B126" s="858"/>
      <c r="C126" s="858"/>
      <c r="D126" s="858"/>
      <c r="E126" s="858"/>
      <c r="F126" s="858"/>
      <c r="G126" s="858"/>
      <c r="H126" s="858"/>
      <c r="I126" s="858"/>
      <c r="J126" s="858"/>
      <c r="K126" s="858"/>
      <c r="L126" s="858"/>
      <c r="M126" s="858"/>
      <c r="N126" s="858"/>
      <c r="O126" s="858"/>
      <c r="P126" s="859"/>
    </row>
    <row r="127" spans="1:16">
      <c r="A127" s="392">
        <v>1</v>
      </c>
      <c r="B127" s="330" t="s">
        <v>639</v>
      </c>
      <c r="C127" s="331"/>
      <c r="D127" s="332" t="s">
        <v>629</v>
      </c>
      <c r="E127" s="333">
        <v>1</v>
      </c>
      <c r="F127" s="503">
        <v>1.91</v>
      </c>
      <c r="G127" s="409">
        <v>12415</v>
      </c>
      <c r="H127" s="409"/>
      <c r="I127" s="316"/>
      <c r="J127" s="316"/>
      <c r="K127" s="316"/>
      <c r="L127" s="316"/>
      <c r="M127" s="316"/>
      <c r="N127" s="337">
        <v>12415</v>
      </c>
      <c r="O127" s="316">
        <v>12415</v>
      </c>
      <c r="P127" s="393">
        <v>148980</v>
      </c>
    </row>
    <row r="128" spans="1:16">
      <c r="A128" s="351">
        <v>3</v>
      </c>
      <c r="B128" s="318" t="s">
        <v>558</v>
      </c>
      <c r="C128" s="320"/>
      <c r="D128" s="320">
        <v>3231</v>
      </c>
      <c r="E128" s="451">
        <v>1</v>
      </c>
      <c r="F128" s="455">
        <v>1.4590000000000001</v>
      </c>
      <c r="G128" s="453">
        <v>9484</v>
      </c>
      <c r="H128" s="407"/>
      <c r="I128" s="317"/>
      <c r="J128" s="424" t="s">
        <v>667</v>
      </c>
      <c r="K128" s="317">
        <v>4267.8</v>
      </c>
      <c r="L128" s="317"/>
      <c r="M128" s="317"/>
      <c r="N128" s="337">
        <v>13751.8</v>
      </c>
      <c r="O128" s="317">
        <f>K128+G128</f>
        <v>13751.8</v>
      </c>
      <c r="P128" s="352">
        <v>165021.59999999998</v>
      </c>
    </row>
    <row r="129" spans="1:16" ht="13.5" thickBot="1">
      <c r="A129" s="351">
        <v>4</v>
      </c>
      <c r="B129" s="318" t="s">
        <v>663</v>
      </c>
      <c r="C129" s="320" t="s">
        <v>559</v>
      </c>
      <c r="D129" s="320">
        <v>3231</v>
      </c>
      <c r="E129" s="317">
        <v>1</v>
      </c>
      <c r="F129" s="503">
        <v>1.4590000000000001</v>
      </c>
      <c r="G129" s="407">
        <v>9484</v>
      </c>
      <c r="H129" s="407"/>
      <c r="I129" s="317"/>
      <c r="J129" s="317"/>
      <c r="K129" s="317"/>
      <c r="L129" s="317"/>
      <c r="M129" s="317"/>
      <c r="N129" s="337">
        <v>9484</v>
      </c>
      <c r="O129" s="317">
        <f>N129*E129</f>
        <v>9484</v>
      </c>
      <c r="P129" s="352">
        <v>341424</v>
      </c>
    </row>
    <row r="130" spans="1:16" ht="15.75" thickBot="1">
      <c r="A130" s="850" t="s">
        <v>637</v>
      </c>
      <c r="B130" s="851"/>
      <c r="C130" s="851"/>
      <c r="D130" s="852"/>
      <c r="E130" s="347">
        <f>SUM(E127:E129)</f>
        <v>3</v>
      </c>
      <c r="F130" s="347"/>
      <c r="G130" s="348"/>
      <c r="H130" s="348"/>
      <c r="I130" s="348"/>
      <c r="J130" s="348"/>
      <c r="K130" s="348"/>
      <c r="L130" s="348"/>
      <c r="M130" s="348"/>
      <c r="N130" s="348"/>
      <c r="O130" s="403">
        <f>SUM(O127:O129)</f>
        <v>35650.800000000003</v>
      </c>
      <c r="P130" s="404">
        <v>785565.6</v>
      </c>
    </row>
    <row r="131" spans="1:16" ht="15" hidden="1">
      <c r="A131" s="354"/>
      <c r="B131" s="362" t="s">
        <v>632</v>
      </c>
      <c r="C131" s="344"/>
      <c r="D131" s="344"/>
      <c r="E131" s="345">
        <f>E127</f>
        <v>1</v>
      </c>
      <c r="F131" s="345"/>
      <c r="G131" s="345"/>
      <c r="H131" s="345"/>
      <c r="I131" s="345"/>
      <c r="J131" s="345"/>
      <c r="K131" s="345"/>
      <c r="L131" s="345"/>
      <c r="M131" s="345"/>
      <c r="N131" s="345"/>
      <c r="O131" s="345">
        <f>O127</f>
        <v>12415</v>
      </c>
      <c r="P131" s="355">
        <v>279120</v>
      </c>
    </row>
    <row r="132" spans="1:16" ht="15" hidden="1">
      <c r="A132" s="356"/>
      <c r="B132" s="363" t="s">
        <v>633</v>
      </c>
      <c r="C132" s="340"/>
      <c r="D132" s="340"/>
      <c r="E132" s="338">
        <f>E128+E129</f>
        <v>2</v>
      </c>
      <c r="F132" s="338"/>
      <c r="G132" s="338"/>
      <c r="H132" s="338"/>
      <c r="I132" s="338"/>
      <c r="J132" s="338"/>
      <c r="K132" s="338">
        <v>4267.8</v>
      </c>
      <c r="L132" s="338"/>
      <c r="M132" s="338"/>
      <c r="N132" s="338"/>
      <c r="O132" s="338">
        <f>O129+O128</f>
        <v>23235.8</v>
      </c>
      <c r="P132" s="357">
        <v>506445.6</v>
      </c>
    </row>
    <row r="133" spans="1:16" ht="15" hidden="1">
      <c r="A133" s="356"/>
      <c r="B133" s="363" t="s">
        <v>634</v>
      </c>
      <c r="C133" s="340"/>
      <c r="D133" s="340"/>
      <c r="E133" s="338"/>
      <c r="F133" s="338"/>
      <c r="G133" s="339"/>
      <c r="H133" s="339"/>
      <c r="I133" s="339"/>
      <c r="J133" s="339"/>
      <c r="K133" s="339"/>
      <c r="L133" s="339"/>
      <c r="M133" s="339"/>
      <c r="N133" s="339"/>
      <c r="O133" s="338"/>
      <c r="P133" s="357"/>
    </row>
    <row r="134" spans="1:16" ht="15.75" hidden="1" thickBot="1">
      <c r="A134" s="401"/>
      <c r="B134" s="388" t="s">
        <v>635</v>
      </c>
      <c r="C134" s="387"/>
      <c r="D134" s="387"/>
      <c r="E134" s="389"/>
      <c r="F134" s="389"/>
      <c r="G134" s="440"/>
      <c r="H134" s="440"/>
      <c r="I134" s="440"/>
      <c r="J134" s="440"/>
      <c r="K134" s="440"/>
      <c r="L134" s="440"/>
      <c r="M134" s="440"/>
      <c r="N134" s="440"/>
      <c r="O134" s="389"/>
      <c r="P134" s="402"/>
    </row>
    <row r="135" spans="1:16" ht="15.75" thickBot="1">
      <c r="A135" s="872" t="s">
        <v>668</v>
      </c>
      <c r="B135" s="858"/>
      <c r="C135" s="858"/>
      <c r="D135" s="858"/>
      <c r="E135" s="858"/>
      <c r="F135" s="858"/>
      <c r="G135" s="858"/>
      <c r="H135" s="858"/>
      <c r="I135" s="858"/>
      <c r="J135" s="858"/>
      <c r="K135" s="858"/>
      <c r="L135" s="858"/>
      <c r="M135" s="858"/>
      <c r="N135" s="858"/>
      <c r="O135" s="858"/>
      <c r="P135" s="859"/>
    </row>
    <row r="136" spans="1:16" hidden="1">
      <c r="A136" s="351">
        <v>2</v>
      </c>
      <c r="B136" s="321" t="s">
        <v>506</v>
      </c>
      <c r="C136" s="323" t="s">
        <v>559</v>
      </c>
      <c r="D136" s="320" t="s">
        <v>669</v>
      </c>
      <c r="E136" s="451">
        <v>1</v>
      </c>
      <c r="F136" s="498">
        <v>1.6684000000000001</v>
      </c>
      <c r="G136" s="454">
        <v>10845</v>
      </c>
      <c r="H136" s="317"/>
      <c r="I136" s="317"/>
      <c r="J136" s="317"/>
      <c r="K136" s="317"/>
      <c r="L136" s="317"/>
      <c r="M136" s="317"/>
      <c r="N136" s="337">
        <v>10845</v>
      </c>
      <c r="O136" s="317">
        <v>10845</v>
      </c>
      <c r="P136" s="352">
        <v>130140</v>
      </c>
    </row>
    <row r="137" spans="1:16" hidden="1">
      <c r="A137" s="351"/>
      <c r="B137" s="321"/>
      <c r="C137" s="323"/>
      <c r="D137" s="320"/>
      <c r="E137" s="451"/>
      <c r="F137" s="498"/>
      <c r="G137" s="454"/>
      <c r="H137" s="317"/>
      <c r="I137" s="317"/>
      <c r="J137" s="317"/>
      <c r="K137" s="317"/>
      <c r="L137" s="317"/>
      <c r="M137" s="317"/>
      <c r="N137" s="337"/>
      <c r="O137" s="317"/>
      <c r="P137" s="352">
        <v>130140</v>
      </c>
    </row>
    <row r="138" spans="1:16" ht="13.5" thickBot="1">
      <c r="A138" s="375">
        <v>1</v>
      </c>
      <c r="B138" s="322" t="s">
        <v>507</v>
      </c>
      <c r="C138" s="342"/>
      <c r="D138" s="373">
        <v>4122</v>
      </c>
      <c r="E138" s="343">
        <v>2</v>
      </c>
      <c r="F138" s="503">
        <v>1.153</v>
      </c>
      <c r="G138" s="317">
        <v>7495</v>
      </c>
      <c r="H138" s="343"/>
      <c r="I138" s="328"/>
      <c r="J138" s="328"/>
      <c r="K138" s="328"/>
      <c r="L138" s="328"/>
      <c r="M138" s="328"/>
      <c r="N138" s="337">
        <v>7495</v>
      </c>
      <c r="O138" s="317">
        <v>14990</v>
      </c>
      <c r="P138" s="353">
        <v>179880</v>
      </c>
    </row>
    <row r="139" spans="1:16" ht="15.75" thickBot="1">
      <c r="A139" s="850" t="s">
        <v>637</v>
      </c>
      <c r="B139" s="851"/>
      <c r="C139" s="851"/>
      <c r="D139" s="852"/>
      <c r="E139" s="347">
        <f>E138+E137</f>
        <v>2</v>
      </c>
      <c r="F139" s="347"/>
      <c r="G139" s="347"/>
      <c r="H139" s="347"/>
      <c r="I139" s="347"/>
      <c r="J139" s="347"/>
      <c r="K139" s="347"/>
      <c r="L139" s="347"/>
      <c r="M139" s="347"/>
      <c r="N139" s="347"/>
      <c r="O139" s="403">
        <f>O137+O138</f>
        <v>14990</v>
      </c>
      <c r="P139" s="404">
        <v>687036</v>
      </c>
    </row>
    <row r="140" spans="1:16" ht="15" hidden="1">
      <c r="A140" s="354"/>
      <c r="B140" s="362" t="s">
        <v>632</v>
      </c>
      <c r="C140" s="344"/>
      <c r="D140" s="344"/>
      <c r="E140" s="345">
        <f>E137</f>
        <v>0</v>
      </c>
      <c r="F140" s="345"/>
      <c r="G140" s="345"/>
      <c r="H140" s="345"/>
      <c r="I140" s="345"/>
      <c r="J140" s="345"/>
      <c r="K140" s="345"/>
      <c r="L140" s="345"/>
      <c r="M140" s="345"/>
      <c r="N140" s="345"/>
      <c r="O140" s="345">
        <f>O137</f>
        <v>0</v>
      </c>
      <c r="P140" s="355">
        <v>409260</v>
      </c>
    </row>
    <row r="141" spans="1:16" ht="15" hidden="1">
      <c r="A141" s="356"/>
      <c r="B141" s="363" t="s">
        <v>633</v>
      </c>
      <c r="C141" s="340"/>
      <c r="D141" s="340"/>
      <c r="E141" s="338"/>
      <c r="F141" s="338"/>
      <c r="G141" s="338"/>
      <c r="H141" s="338"/>
      <c r="I141" s="338"/>
      <c r="J141" s="338"/>
      <c r="K141" s="338"/>
      <c r="L141" s="338"/>
      <c r="M141" s="338"/>
      <c r="N141" s="338"/>
      <c r="O141" s="338"/>
      <c r="P141" s="357">
        <v>97896</v>
      </c>
    </row>
    <row r="142" spans="1:16" ht="15" hidden="1">
      <c r="A142" s="356"/>
      <c r="B142" s="363" t="s">
        <v>634</v>
      </c>
      <c r="C142" s="340"/>
      <c r="D142" s="340"/>
      <c r="E142" s="338"/>
      <c r="F142" s="338"/>
      <c r="G142" s="338"/>
      <c r="H142" s="338"/>
      <c r="I142" s="338"/>
      <c r="J142" s="338"/>
      <c r="K142" s="338"/>
      <c r="L142" s="338"/>
      <c r="M142" s="338"/>
      <c r="N142" s="338"/>
      <c r="O142" s="338"/>
      <c r="P142" s="357"/>
    </row>
    <row r="143" spans="1:16" ht="15.75" hidden="1" thickBot="1">
      <c r="A143" s="401"/>
      <c r="B143" s="388" t="s">
        <v>635</v>
      </c>
      <c r="C143" s="387"/>
      <c r="D143" s="387"/>
      <c r="E143" s="389">
        <v>2</v>
      </c>
      <c r="F143" s="389"/>
      <c r="G143" s="389"/>
      <c r="H143" s="389"/>
      <c r="I143" s="389"/>
      <c r="J143" s="389"/>
      <c r="K143" s="389"/>
      <c r="L143" s="389"/>
      <c r="M143" s="389"/>
      <c r="N143" s="389"/>
      <c r="O143" s="389">
        <f>O138</f>
        <v>14990</v>
      </c>
      <c r="P143" s="402">
        <v>179880</v>
      </c>
    </row>
    <row r="144" spans="1:16" ht="15.75" thickBot="1">
      <c r="A144" s="872" t="s">
        <v>670</v>
      </c>
      <c r="B144" s="858"/>
      <c r="C144" s="858"/>
      <c r="D144" s="858"/>
      <c r="E144" s="858"/>
      <c r="F144" s="858"/>
      <c r="G144" s="858"/>
      <c r="H144" s="858"/>
      <c r="I144" s="858"/>
      <c r="J144" s="858"/>
      <c r="K144" s="858"/>
      <c r="L144" s="858"/>
      <c r="M144" s="858"/>
      <c r="N144" s="858"/>
      <c r="O144" s="858"/>
      <c r="P144" s="859"/>
    </row>
    <row r="145" spans="1:16">
      <c r="A145" s="349">
        <v>1</v>
      </c>
      <c r="B145" s="330" t="s">
        <v>639</v>
      </c>
      <c r="C145" s="441"/>
      <c r="D145" s="332" t="s">
        <v>629</v>
      </c>
      <c r="E145" s="316">
        <v>1</v>
      </c>
      <c r="F145" s="503">
        <v>1.91</v>
      </c>
      <c r="G145" s="409">
        <v>12415</v>
      </c>
      <c r="H145" s="409"/>
      <c r="I145" s="316"/>
      <c r="J145" s="316"/>
      <c r="K145" s="316"/>
      <c r="L145" s="316"/>
      <c r="M145" s="316"/>
      <c r="N145" s="337">
        <v>12415</v>
      </c>
      <c r="O145" s="316">
        <v>12415</v>
      </c>
      <c r="P145" s="350">
        <v>148980</v>
      </c>
    </row>
    <row r="146" spans="1:16" ht="13.5" thickBot="1">
      <c r="A146" s="446">
        <v>2</v>
      </c>
      <c r="B146" s="318" t="s">
        <v>663</v>
      </c>
      <c r="C146" s="320"/>
      <c r="D146" s="324">
        <v>3231</v>
      </c>
      <c r="E146" s="317">
        <v>2</v>
      </c>
      <c r="F146" s="467">
        <v>1.306</v>
      </c>
      <c r="G146" s="407">
        <v>8489</v>
      </c>
      <c r="H146" s="407"/>
      <c r="I146" s="407"/>
      <c r="J146" s="407"/>
      <c r="K146" s="407"/>
      <c r="L146" s="407"/>
      <c r="M146" s="317"/>
      <c r="N146" s="337">
        <v>8489</v>
      </c>
      <c r="O146" s="317">
        <v>16978</v>
      </c>
      <c r="P146" s="352">
        <v>203736</v>
      </c>
    </row>
    <row r="147" spans="1:16" ht="15.75" thickBot="1">
      <c r="A147" s="850" t="s">
        <v>637</v>
      </c>
      <c r="B147" s="851"/>
      <c r="C147" s="851"/>
      <c r="D147" s="852"/>
      <c r="E147" s="347">
        <v>3</v>
      </c>
      <c r="F147" s="425"/>
      <c r="G147" s="347"/>
      <c r="H147" s="347"/>
      <c r="I147" s="347"/>
      <c r="J147" s="347"/>
      <c r="K147" s="347"/>
      <c r="L147" s="347"/>
      <c r="M147" s="347"/>
      <c r="N147" s="347"/>
      <c r="O147" s="403">
        <v>29393</v>
      </c>
      <c r="P147" s="404">
        <v>352716</v>
      </c>
    </row>
    <row r="148" spans="1:16" ht="15" hidden="1">
      <c r="A148" s="354"/>
      <c r="B148" s="362" t="s">
        <v>632</v>
      </c>
      <c r="C148" s="344"/>
      <c r="D148" s="344"/>
      <c r="E148" s="345"/>
      <c r="F148" s="345"/>
      <c r="G148" s="345"/>
      <c r="H148" s="345"/>
      <c r="I148" s="345"/>
      <c r="J148" s="345"/>
      <c r="K148" s="345"/>
      <c r="L148" s="345"/>
      <c r="M148" s="345"/>
      <c r="N148" s="345"/>
      <c r="O148" s="345"/>
      <c r="P148" s="355"/>
    </row>
    <row r="149" spans="1:16" ht="15" hidden="1">
      <c r="A149" s="356"/>
      <c r="B149" s="363" t="s">
        <v>633</v>
      </c>
      <c r="C149" s="340"/>
      <c r="D149" s="340"/>
      <c r="E149" s="338">
        <v>3</v>
      </c>
      <c r="F149" s="338"/>
      <c r="G149" s="338"/>
      <c r="H149" s="338"/>
      <c r="I149" s="338"/>
      <c r="J149" s="338"/>
      <c r="K149" s="338"/>
      <c r="L149" s="338"/>
      <c r="M149" s="338"/>
      <c r="N149" s="338"/>
      <c r="O149" s="338">
        <f>O147</f>
        <v>29393</v>
      </c>
      <c r="P149" s="357">
        <v>203736</v>
      </c>
    </row>
    <row r="150" spans="1:16" ht="15" hidden="1">
      <c r="A150" s="356"/>
      <c r="B150" s="363" t="s">
        <v>634</v>
      </c>
      <c r="C150" s="340"/>
      <c r="D150" s="340"/>
      <c r="E150" s="338"/>
      <c r="F150" s="338"/>
      <c r="G150" s="338"/>
      <c r="H150" s="338"/>
      <c r="I150" s="338"/>
      <c r="J150" s="338"/>
      <c r="K150" s="338"/>
      <c r="L150" s="338"/>
      <c r="M150" s="338"/>
      <c r="N150" s="338"/>
      <c r="O150" s="338"/>
      <c r="P150" s="357"/>
    </row>
    <row r="151" spans="1:16" ht="15.75" hidden="1" thickBot="1">
      <c r="A151" s="401"/>
      <c r="B151" s="388" t="s">
        <v>635</v>
      </c>
      <c r="C151" s="387"/>
      <c r="D151" s="387"/>
      <c r="E151" s="389"/>
      <c r="F151" s="389"/>
      <c r="G151" s="389"/>
      <c r="H151" s="389"/>
      <c r="I151" s="389"/>
      <c r="J151" s="389"/>
      <c r="K151" s="389"/>
      <c r="L151" s="389"/>
      <c r="M151" s="389"/>
      <c r="N151" s="389"/>
      <c r="O151" s="389"/>
      <c r="P151" s="402">
        <v>148980</v>
      </c>
    </row>
    <row r="152" spans="1:16" ht="15.75" thickBot="1">
      <c r="A152" s="853" t="s">
        <v>671</v>
      </c>
      <c r="B152" s="854"/>
      <c r="C152" s="854"/>
      <c r="D152" s="854"/>
      <c r="E152" s="854"/>
      <c r="F152" s="854"/>
      <c r="G152" s="854"/>
      <c r="H152" s="854"/>
      <c r="I152" s="854"/>
      <c r="J152" s="854"/>
      <c r="K152" s="854"/>
      <c r="L152" s="854"/>
      <c r="M152" s="854"/>
      <c r="N152" s="854"/>
      <c r="O152" s="854"/>
      <c r="P152" s="855"/>
    </row>
    <row r="153" spans="1:16">
      <c r="A153" s="442">
        <v>1</v>
      </c>
      <c r="B153" s="314" t="s">
        <v>505</v>
      </c>
      <c r="C153" s="315"/>
      <c r="D153" s="315" t="s">
        <v>629</v>
      </c>
      <c r="E153" s="443">
        <v>1</v>
      </c>
      <c r="F153" s="504">
        <v>1.91</v>
      </c>
      <c r="G153" s="409">
        <v>12415</v>
      </c>
      <c r="H153" s="409"/>
      <c r="I153" s="409"/>
      <c r="J153" s="444" t="s">
        <v>662</v>
      </c>
      <c r="K153" s="409">
        <v>6828.2500000000009</v>
      </c>
      <c r="L153" s="409"/>
      <c r="M153" s="316"/>
      <c r="N153" s="337">
        <v>19243.25</v>
      </c>
      <c r="O153" s="316">
        <v>19243.25</v>
      </c>
      <c r="P153" s="350">
        <v>230919</v>
      </c>
    </row>
    <row r="154" spans="1:16">
      <c r="A154" s="351">
        <v>2</v>
      </c>
      <c r="B154" s="318" t="s">
        <v>672</v>
      </c>
      <c r="C154" s="323" t="s">
        <v>559</v>
      </c>
      <c r="D154" s="324" t="s">
        <v>666</v>
      </c>
      <c r="E154" s="451">
        <f>9.5-2</f>
        <v>7.5</v>
      </c>
      <c r="F154" s="469">
        <v>1.7331000000000001</v>
      </c>
      <c r="G154" s="453">
        <v>11265</v>
      </c>
      <c r="H154" s="407"/>
      <c r="I154" s="407"/>
      <c r="J154" s="428"/>
      <c r="K154" s="407"/>
      <c r="L154" s="407"/>
      <c r="M154" s="317"/>
      <c r="N154" s="337">
        <v>11265</v>
      </c>
      <c r="O154" s="317">
        <f>N154*E154</f>
        <v>84487.5</v>
      </c>
      <c r="P154" s="352">
        <v>1284210</v>
      </c>
    </row>
    <row r="155" spans="1:16">
      <c r="A155" s="396">
        <v>3</v>
      </c>
      <c r="B155" s="318" t="s">
        <v>672</v>
      </c>
      <c r="C155" s="320" t="s">
        <v>673</v>
      </c>
      <c r="D155" s="324" t="s">
        <v>666</v>
      </c>
      <c r="E155" s="451">
        <v>2</v>
      </c>
      <c r="F155" s="469">
        <v>1.6684000000000001</v>
      </c>
      <c r="G155" s="453">
        <v>10845</v>
      </c>
      <c r="H155" s="407"/>
      <c r="I155" s="407"/>
      <c r="J155" s="428"/>
      <c r="K155" s="407"/>
      <c r="L155" s="407"/>
      <c r="M155" s="317"/>
      <c r="N155" s="337">
        <v>10845</v>
      </c>
      <c r="O155" s="317">
        <f>E155*G155</f>
        <v>21690</v>
      </c>
      <c r="P155" s="352">
        <v>390420</v>
      </c>
    </row>
    <row r="156" spans="1:16">
      <c r="A156" s="396">
        <v>4</v>
      </c>
      <c r="B156" s="318" t="s">
        <v>672</v>
      </c>
      <c r="C156" s="320"/>
      <c r="D156" s="324" t="s">
        <v>666</v>
      </c>
      <c r="E156" s="451">
        <v>2</v>
      </c>
      <c r="F156" s="469">
        <v>1.5389999999999999</v>
      </c>
      <c r="G156" s="453">
        <v>10004</v>
      </c>
      <c r="H156" s="407"/>
      <c r="I156" s="407"/>
      <c r="J156" s="428"/>
      <c r="K156" s="407"/>
      <c r="L156" s="407"/>
      <c r="M156" s="317"/>
      <c r="N156" s="337">
        <v>10004</v>
      </c>
      <c r="O156" s="317">
        <f>E156*G156</f>
        <v>20008</v>
      </c>
      <c r="P156" s="352">
        <v>120048</v>
      </c>
    </row>
    <row r="157" spans="1:16">
      <c r="A157" s="351">
        <v>5</v>
      </c>
      <c r="B157" s="318" t="s">
        <v>558</v>
      </c>
      <c r="C157" s="320"/>
      <c r="D157" s="324">
        <v>3231</v>
      </c>
      <c r="E157" s="468">
        <v>1</v>
      </c>
      <c r="F157" s="469">
        <v>1.4590000000000001</v>
      </c>
      <c r="G157" s="453">
        <v>9484</v>
      </c>
      <c r="H157" s="407"/>
      <c r="I157" s="407"/>
      <c r="J157" s="428" t="s">
        <v>662</v>
      </c>
      <c r="K157" s="407">
        <f>G157*J157</f>
        <v>5216.2000000000007</v>
      </c>
      <c r="L157" s="407"/>
      <c r="M157" s="317"/>
      <c r="N157" s="337">
        <f>K157+G157</f>
        <v>14700.2</v>
      </c>
      <c r="O157" s="317">
        <f>N157*E157</f>
        <v>14700.2</v>
      </c>
      <c r="P157" s="352">
        <v>182092.79999999999</v>
      </c>
    </row>
    <row r="158" spans="1:16">
      <c r="A158" s="396">
        <v>6</v>
      </c>
      <c r="B158" s="318" t="s">
        <v>663</v>
      </c>
      <c r="C158" s="323" t="s">
        <v>559</v>
      </c>
      <c r="D158" s="324">
        <v>3231</v>
      </c>
      <c r="E158" s="451">
        <v>9</v>
      </c>
      <c r="F158" s="455">
        <v>1.4590000000000001</v>
      </c>
      <c r="G158" s="453">
        <v>9484</v>
      </c>
      <c r="H158" s="407"/>
      <c r="I158" s="407"/>
      <c r="J158" s="428"/>
      <c r="K158" s="407"/>
      <c r="L158" s="407"/>
      <c r="M158" s="317"/>
      <c r="N158" s="337">
        <v>9484</v>
      </c>
      <c r="O158" s="317">
        <v>85356</v>
      </c>
      <c r="P158" s="352">
        <v>1024272</v>
      </c>
    </row>
    <row r="159" spans="1:16">
      <c r="A159" s="396">
        <v>7</v>
      </c>
      <c r="B159" s="318" t="s">
        <v>663</v>
      </c>
      <c r="C159" s="323" t="s">
        <v>673</v>
      </c>
      <c r="D159" s="324">
        <v>3231</v>
      </c>
      <c r="E159" s="451">
        <f>4-1</f>
        <v>3</v>
      </c>
      <c r="F159" s="455">
        <v>1.4079999999999999</v>
      </c>
      <c r="G159" s="453">
        <v>9152</v>
      </c>
      <c r="H159" s="407"/>
      <c r="I159" s="407"/>
      <c r="J159" s="428"/>
      <c r="K159" s="407"/>
      <c r="L159" s="407"/>
      <c r="M159" s="317"/>
      <c r="N159" s="337">
        <v>9152</v>
      </c>
      <c r="O159" s="317">
        <f>N159*E159</f>
        <v>27456</v>
      </c>
      <c r="P159" s="352">
        <v>439296</v>
      </c>
    </row>
    <row r="160" spans="1:16">
      <c r="A160" s="351">
        <v>8</v>
      </c>
      <c r="B160" s="318" t="s">
        <v>663</v>
      </c>
      <c r="C160" s="320" t="s">
        <v>560</v>
      </c>
      <c r="D160" s="324">
        <v>3231</v>
      </c>
      <c r="E160" s="451">
        <v>1</v>
      </c>
      <c r="F160" s="455">
        <v>1.357</v>
      </c>
      <c r="G160" s="453">
        <v>8821</v>
      </c>
      <c r="H160" s="407"/>
      <c r="I160" s="407"/>
      <c r="J160" s="428"/>
      <c r="K160" s="407"/>
      <c r="L160" s="407"/>
      <c r="M160" s="317"/>
      <c r="N160" s="337">
        <v>8821</v>
      </c>
      <c r="O160" s="317">
        <v>8821</v>
      </c>
      <c r="P160" s="352">
        <v>105852</v>
      </c>
    </row>
    <row r="161" spans="1:16" hidden="1">
      <c r="A161" s="396"/>
      <c r="B161" s="318"/>
      <c r="C161" s="320"/>
      <c r="D161" s="324"/>
      <c r="E161" s="451"/>
      <c r="F161" s="455"/>
      <c r="G161" s="453"/>
      <c r="H161" s="407"/>
      <c r="I161" s="407"/>
      <c r="J161" s="428"/>
      <c r="K161" s="407"/>
      <c r="L161" s="407"/>
      <c r="M161" s="317"/>
      <c r="N161" s="337"/>
      <c r="O161" s="317"/>
      <c r="P161" s="352">
        <v>97896</v>
      </c>
    </row>
    <row r="162" spans="1:16">
      <c r="A162" s="396">
        <v>9</v>
      </c>
      <c r="B162" s="318" t="s">
        <v>508</v>
      </c>
      <c r="C162" s="320"/>
      <c r="D162" s="324">
        <v>4222</v>
      </c>
      <c r="E162" s="451">
        <v>1</v>
      </c>
      <c r="F162" s="455">
        <v>1.204</v>
      </c>
      <c r="G162" s="454">
        <v>7826</v>
      </c>
      <c r="H162" s="317"/>
      <c r="I162" s="317"/>
      <c r="J162" s="424"/>
      <c r="K162" s="317"/>
      <c r="L162" s="317"/>
      <c r="M162" s="317"/>
      <c r="N162" s="337">
        <v>7826</v>
      </c>
      <c r="O162" s="317">
        <v>7826</v>
      </c>
      <c r="P162" s="352">
        <v>93912</v>
      </c>
    </row>
    <row r="163" spans="1:16" ht="13.5" thickBot="1">
      <c r="A163" s="375">
        <v>10</v>
      </c>
      <c r="B163" s="341" t="s">
        <v>647</v>
      </c>
      <c r="C163" s="373"/>
      <c r="D163" s="342">
        <v>5132</v>
      </c>
      <c r="E163" s="343">
        <v>2</v>
      </c>
      <c r="F163" s="503">
        <v>1.1020000000000001</v>
      </c>
      <c r="G163" s="317">
        <v>7163</v>
      </c>
      <c r="H163" s="343"/>
      <c r="I163" s="343"/>
      <c r="J163" s="429"/>
      <c r="K163" s="343"/>
      <c r="L163" s="424" t="s">
        <v>648</v>
      </c>
      <c r="M163" s="343">
        <v>716.30000000000007</v>
      </c>
      <c r="N163" s="337">
        <v>7879.3</v>
      </c>
      <c r="O163" s="317">
        <v>15758.6</v>
      </c>
      <c r="P163" s="353">
        <v>189103.2</v>
      </c>
    </row>
    <row r="164" spans="1:16" ht="15.75" thickBot="1">
      <c r="A164" s="850" t="s">
        <v>637</v>
      </c>
      <c r="B164" s="851"/>
      <c r="C164" s="851"/>
      <c r="D164" s="852"/>
      <c r="E164" s="347">
        <f>SUM(E153:E163)</f>
        <v>29.5</v>
      </c>
      <c r="F164" s="347"/>
      <c r="G164" s="348"/>
      <c r="H164" s="348"/>
      <c r="I164" s="348"/>
      <c r="J164" s="348"/>
      <c r="K164" s="348"/>
      <c r="L164" s="348"/>
      <c r="M164" s="348"/>
      <c r="N164" s="348"/>
      <c r="O164" s="403">
        <f>SUM(O153:O163)</f>
        <v>305346.55</v>
      </c>
      <c r="P164" s="404">
        <v>4158021</v>
      </c>
    </row>
    <row r="165" spans="1:16" ht="15" hidden="1">
      <c r="A165" s="354"/>
      <c r="B165" s="362" t="s">
        <v>632</v>
      </c>
      <c r="C165" s="344"/>
      <c r="D165" s="344"/>
      <c r="E165" s="345">
        <v>14.5</v>
      </c>
      <c r="F165" s="345"/>
      <c r="G165" s="345"/>
      <c r="H165" s="345"/>
      <c r="I165" s="345"/>
      <c r="J165" s="345"/>
      <c r="K165" s="345">
        <v>6828.2500000000009</v>
      </c>
      <c r="L165" s="345"/>
      <c r="M165" s="345"/>
      <c r="N165" s="345"/>
      <c r="O165" s="345">
        <f>O154+O155+O156+O153</f>
        <v>145428.75</v>
      </c>
      <c r="P165" s="355">
        <v>2025597</v>
      </c>
    </row>
    <row r="166" spans="1:16" ht="15" hidden="1">
      <c r="A166" s="356"/>
      <c r="B166" s="363" t="s">
        <v>633</v>
      </c>
      <c r="C166" s="340"/>
      <c r="D166" s="340"/>
      <c r="E166" s="338">
        <v>16</v>
      </c>
      <c r="F166" s="338"/>
      <c r="G166" s="338"/>
      <c r="H166" s="338"/>
      <c r="I166" s="338"/>
      <c r="J166" s="338"/>
      <c r="K166" s="338">
        <f>K157</f>
        <v>5216.2000000000007</v>
      </c>
      <c r="L166" s="338"/>
      <c r="M166" s="338"/>
      <c r="N166" s="338"/>
      <c r="O166" s="338">
        <f>O157+O158+O159+O160+O161</f>
        <v>136333.20000000001</v>
      </c>
      <c r="P166" s="357">
        <v>1849408.8</v>
      </c>
    </row>
    <row r="167" spans="1:16" ht="15" hidden="1">
      <c r="A167" s="356"/>
      <c r="B167" s="363" t="s">
        <v>634</v>
      </c>
      <c r="C167" s="340"/>
      <c r="D167" s="340"/>
      <c r="E167" s="338">
        <v>2</v>
      </c>
      <c r="F167" s="338"/>
      <c r="G167" s="338"/>
      <c r="H167" s="338"/>
      <c r="I167" s="338"/>
      <c r="J167" s="338"/>
      <c r="K167" s="338"/>
      <c r="L167" s="338"/>
      <c r="M167" s="338">
        <f>M163*E163</f>
        <v>1432.6000000000001</v>
      </c>
      <c r="N167" s="338"/>
      <c r="O167" s="338">
        <v>15758.6</v>
      </c>
      <c r="P167" s="357">
        <v>189103.2</v>
      </c>
    </row>
    <row r="168" spans="1:16" ht="15.75" hidden="1" thickBot="1">
      <c r="A168" s="401"/>
      <c r="B168" s="388" t="s">
        <v>635</v>
      </c>
      <c r="C168" s="387"/>
      <c r="D168" s="387"/>
      <c r="E168" s="389">
        <v>1</v>
      </c>
      <c r="F168" s="389"/>
      <c r="G168" s="389"/>
      <c r="H168" s="389"/>
      <c r="I168" s="389"/>
      <c r="J168" s="389"/>
      <c r="K168" s="389"/>
      <c r="L168" s="389"/>
      <c r="M168" s="389"/>
      <c r="N168" s="389"/>
      <c r="O168" s="389">
        <v>7826</v>
      </c>
      <c r="P168" s="402">
        <v>93912</v>
      </c>
    </row>
    <row r="169" spans="1:16" ht="15.75" thickBot="1">
      <c r="A169" s="853" t="s">
        <v>675</v>
      </c>
      <c r="B169" s="854"/>
      <c r="C169" s="854"/>
      <c r="D169" s="854"/>
      <c r="E169" s="854"/>
      <c r="F169" s="854"/>
      <c r="G169" s="854"/>
      <c r="H169" s="854"/>
      <c r="I169" s="854"/>
      <c r="J169" s="854"/>
      <c r="K169" s="854"/>
      <c r="L169" s="854"/>
      <c r="M169" s="854"/>
      <c r="N169" s="854"/>
      <c r="O169" s="854"/>
      <c r="P169" s="855"/>
    </row>
    <row r="170" spans="1:16">
      <c r="A170" s="442">
        <v>1</v>
      </c>
      <c r="B170" s="314" t="s">
        <v>505</v>
      </c>
      <c r="C170" s="315"/>
      <c r="D170" s="315" t="s">
        <v>629</v>
      </c>
      <c r="E170" s="443">
        <v>1</v>
      </c>
      <c r="F170" s="504">
        <v>1.91</v>
      </c>
      <c r="G170" s="409">
        <v>12415</v>
      </c>
      <c r="H170" s="409"/>
      <c r="I170" s="409"/>
      <c r="J170" s="444" t="s">
        <v>662</v>
      </c>
      <c r="K170" s="409">
        <v>6828.2500000000009</v>
      </c>
      <c r="L170" s="409"/>
      <c r="M170" s="316"/>
      <c r="N170" s="337">
        <v>19243.25</v>
      </c>
      <c r="O170" s="316">
        <v>19243.25</v>
      </c>
      <c r="P170" s="350">
        <v>230919</v>
      </c>
    </row>
    <row r="171" spans="1:16">
      <c r="A171" s="351">
        <v>2</v>
      </c>
      <c r="B171" s="318" t="s">
        <v>672</v>
      </c>
      <c r="C171" s="324" t="s">
        <v>559</v>
      </c>
      <c r="D171" s="324" t="s">
        <v>666</v>
      </c>
      <c r="E171" s="451">
        <v>9</v>
      </c>
      <c r="F171" s="469">
        <v>1.7331000000000001</v>
      </c>
      <c r="G171" s="453">
        <v>11265</v>
      </c>
      <c r="H171" s="407"/>
      <c r="I171" s="407"/>
      <c r="J171" s="428"/>
      <c r="K171" s="407"/>
      <c r="L171" s="407"/>
      <c r="M171" s="317"/>
      <c r="N171" s="337">
        <v>11265</v>
      </c>
      <c r="O171" s="317">
        <v>101385</v>
      </c>
      <c r="P171" s="352">
        <v>1216620</v>
      </c>
    </row>
    <row r="172" spans="1:16">
      <c r="A172" s="396">
        <v>3</v>
      </c>
      <c r="B172" s="318" t="s">
        <v>672</v>
      </c>
      <c r="C172" s="320" t="s">
        <v>673</v>
      </c>
      <c r="D172" s="324" t="s">
        <v>666</v>
      </c>
      <c r="E172" s="451">
        <v>3.5</v>
      </c>
      <c r="F172" s="469">
        <v>1.6684000000000001</v>
      </c>
      <c r="G172" s="453">
        <v>10845</v>
      </c>
      <c r="H172" s="407"/>
      <c r="I172" s="407"/>
      <c r="J172" s="428"/>
      <c r="K172" s="407"/>
      <c r="L172" s="407"/>
      <c r="M172" s="317"/>
      <c r="N172" s="337">
        <v>10845</v>
      </c>
      <c r="O172" s="317">
        <v>37957.5</v>
      </c>
      <c r="P172" s="352">
        <v>455490</v>
      </c>
    </row>
    <row r="173" spans="1:16">
      <c r="A173" s="396">
        <v>4</v>
      </c>
      <c r="B173" s="318" t="s">
        <v>418</v>
      </c>
      <c r="C173" s="323"/>
      <c r="D173" s="324">
        <v>3229</v>
      </c>
      <c r="E173" s="451">
        <v>1</v>
      </c>
      <c r="F173" s="455">
        <v>1.4590000000000001</v>
      </c>
      <c r="G173" s="453">
        <v>9484</v>
      </c>
      <c r="H173" s="407"/>
      <c r="I173" s="407"/>
      <c r="J173" s="428"/>
      <c r="K173" s="407"/>
      <c r="L173" s="407"/>
      <c r="M173" s="317"/>
      <c r="N173" s="337">
        <v>9484</v>
      </c>
      <c r="O173" s="317">
        <v>9484</v>
      </c>
      <c r="P173" s="352">
        <v>113808</v>
      </c>
    </row>
    <row r="174" spans="1:16">
      <c r="A174" s="396">
        <v>5</v>
      </c>
      <c r="B174" s="318" t="s">
        <v>558</v>
      </c>
      <c r="C174" s="323"/>
      <c r="D174" s="324">
        <v>3231</v>
      </c>
      <c r="E174" s="451">
        <v>1</v>
      </c>
      <c r="F174" s="455">
        <v>1.4590000000000001</v>
      </c>
      <c r="G174" s="453">
        <v>9484</v>
      </c>
      <c r="H174" s="407"/>
      <c r="I174" s="407"/>
      <c r="J174" s="428" t="s">
        <v>662</v>
      </c>
      <c r="K174" s="407">
        <f>G174*J174</f>
        <v>5216.2000000000007</v>
      </c>
      <c r="L174" s="407"/>
      <c r="M174" s="317"/>
      <c r="N174" s="337">
        <f>K174+G174</f>
        <v>14700.2</v>
      </c>
      <c r="O174" s="317">
        <f>N174*E174</f>
        <v>14700.2</v>
      </c>
      <c r="P174" s="352">
        <v>182092.79999999999</v>
      </c>
    </row>
    <row r="175" spans="1:16">
      <c r="A175" s="396">
        <v>6</v>
      </c>
      <c r="B175" s="318" t="s">
        <v>676</v>
      </c>
      <c r="C175" s="324" t="s">
        <v>559</v>
      </c>
      <c r="D175" s="324">
        <v>3231</v>
      </c>
      <c r="E175" s="451">
        <v>7</v>
      </c>
      <c r="F175" s="455">
        <v>1.4590000000000001</v>
      </c>
      <c r="G175" s="453">
        <v>9484</v>
      </c>
      <c r="H175" s="407"/>
      <c r="I175" s="407"/>
      <c r="J175" s="428"/>
      <c r="K175" s="407"/>
      <c r="L175" s="407"/>
      <c r="M175" s="317"/>
      <c r="N175" s="337">
        <v>9484</v>
      </c>
      <c r="O175" s="317">
        <v>66388</v>
      </c>
      <c r="P175" s="352">
        <v>796656</v>
      </c>
    </row>
    <row r="176" spans="1:16">
      <c r="A176" s="396">
        <v>7</v>
      </c>
      <c r="B176" s="318" t="s">
        <v>663</v>
      </c>
      <c r="C176" s="320" t="s">
        <v>673</v>
      </c>
      <c r="D176" s="324">
        <v>3231</v>
      </c>
      <c r="E176" s="451">
        <v>3</v>
      </c>
      <c r="F176" s="455">
        <v>1.4079999999999999</v>
      </c>
      <c r="G176" s="453">
        <v>9152</v>
      </c>
      <c r="H176" s="407"/>
      <c r="I176" s="407"/>
      <c r="J176" s="428"/>
      <c r="K176" s="407"/>
      <c r="L176" s="407"/>
      <c r="M176" s="317"/>
      <c r="N176" s="337">
        <v>9152</v>
      </c>
      <c r="O176" s="317">
        <v>27456</v>
      </c>
      <c r="P176" s="352">
        <v>329472</v>
      </c>
    </row>
    <row r="177" spans="1:16">
      <c r="A177" s="396">
        <v>8</v>
      </c>
      <c r="B177" s="318" t="s">
        <v>663</v>
      </c>
      <c r="C177" s="320" t="s">
        <v>560</v>
      </c>
      <c r="D177" s="324">
        <v>3231</v>
      </c>
      <c r="E177" s="451">
        <f>3-1</f>
        <v>2</v>
      </c>
      <c r="F177" s="455">
        <v>1.357</v>
      </c>
      <c r="G177" s="453">
        <v>8821</v>
      </c>
      <c r="H177" s="407"/>
      <c r="I177" s="407"/>
      <c r="J177" s="428"/>
      <c r="K177" s="407"/>
      <c r="L177" s="407"/>
      <c r="M177" s="317"/>
      <c r="N177" s="337">
        <v>8821</v>
      </c>
      <c r="O177" s="317">
        <f>E177*G177</f>
        <v>17642</v>
      </c>
      <c r="P177" s="352">
        <v>211704</v>
      </c>
    </row>
    <row r="178" spans="1:16" ht="17.25" customHeight="1">
      <c r="A178" s="396">
        <v>9</v>
      </c>
      <c r="B178" s="318" t="s">
        <v>663</v>
      </c>
      <c r="C178" s="320"/>
      <c r="D178" s="324">
        <v>3231</v>
      </c>
      <c r="E178" s="451">
        <v>1</v>
      </c>
      <c r="F178" s="455">
        <v>1.306</v>
      </c>
      <c r="G178" s="453">
        <v>8489</v>
      </c>
      <c r="H178" s="407"/>
      <c r="I178" s="407"/>
      <c r="J178" s="428"/>
      <c r="K178" s="407"/>
      <c r="L178" s="407"/>
      <c r="M178" s="317"/>
      <c r="N178" s="337">
        <v>8489</v>
      </c>
      <c r="O178" s="317">
        <f>E178*G178</f>
        <v>8489</v>
      </c>
      <c r="P178" s="352">
        <v>203736</v>
      </c>
    </row>
    <row r="179" spans="1:16">
      <c r="A179" s="396">
        <v>11</v>
      </c>
      <c r="B179" s="318" t="s">
        <v>508</v>
      </c>
      <c r="C179" s="320"/>
      <c r="D179" s="324">
        <v>4222</v>
      </c>
      <c r="E179" s="451">
        <v>2</v>
      </c>
      <c r="F179" s="455">
        <v>1.204</v>
      </c>
      <c r="G179" s="453">
        <v>7826</v>
      </c>
      <c r="H179" s="407"/>
      <c r="I179" s="407"/>
      <c r="J179" s="428"/>
      <c r="K179" s="407"/>
      <c r="L179" s="407"/>
      <c r="M179" s="317"/>
      <c r="N179" s="337">
        <v>7826</v>
      </c>
      <c r="O179" s="317">
        <v>15652</v>
      </c>
      <c r="P179" s="352">
        <v>187824</v>
      </c>
    </row>
    <row r="180" spans="1:16">
      <c r="A180" s="396">
        <v>12</v>
      </c>
      <c r="B180" s="318" t="s">
        <v>647</v>
      </c>
      <c r="C180" s="320"/>
      <c r="D180" s="324">
        <v>5132</v>
      </c>
      <c r="E180" s="451">
        <v>1</v>
      </c>
      <c r="F180" s="455">
        <v>1.1020000000000001</v>
      </c>
      <c r="G180" s="454">
        <v>7163</v>
      </c>
      <c r="H180" s="317"/>
      <c r="I180" s="317"/>
      <c r="J180" s="424"/>
      <c r="K180" s="317"/>
      <c r="L180" s="424" t="s">
        <v>648</v>
      </c>
      <c r="M180" s="317">
        <v>716.30000000000007</v>
      </c>
      <c r="N180" s="337">
        <v>7879.3</v>
      </c>
      <c r="O180" s="317">
        <v>7879.3</v>
      </c>
      <c r="P180" s="352">
        <v>94551.6</v>
      </c>
    </row>
    <row r="181" spans="1:16" ht="13.5" thickBot="1">
      <c r="A181" s="396">
        <v>13</v>
      </c>
      <c r="B181" s="341" t="s">
        <v>423</v>
      </c>
      <c r="C181" s="373"/>
      <c r="D181" s="342">
        <v>9152</v>
      </c>
      <c r="E181" s="343">
        <v>1</v>
      </c>
      <c r="F181" s="503">
        <v>1</v>
      </c>
      <c r="G181" s="317">
        <v>6500</v>
      </c>
      <c r="H181" s="343"/>
      <c r="I181" s="343"/>
      <c r="J181" s="429"/>
      <c r="K181" s="343"/>
      <c r="L181" s="343"/>
      <c r="M181" s="343"/>
      <c r="N181" s="337">
        <v>6500</v>
      </c>
      <c r="O181" s="317">
        <v>6500</v>
      </c>
      <c r="P181" s="352">
        <v>39000</v>
      </c>
    </row>
    <row r="182" spans="1:16" ht="15.75" thickBot="1">
      <c r="A182" s="850" t="s">
        <v>637</v>
      </c>
      <c r="B182" s="851"/>
      <c r="C182" s="851"/>
      <c r="D182" s="852"/>
      <c r="E182" s="347">
        <f>SUM(E170:E181)</f>
        <v>32.5</v>
      </c>
      <c r="F182" s="347"/>
      <c r="G182" s="348"/>
      <c r="H182" s="348"/>
      <c r="I182" s="348"/>
      <c r="J182" s="348"/>
      <c r="K182" s="348"/>
      <c r="L182" s="348"/>
      <c r="M182" s="348"/>
      <c r="N182" s="348"/>
      <c r="O182" s="403">
        <f>SUM(O170:O181)</f>
        <v>332776.25</v>
      </c>
      <c r="P182" s="404">
        <v>4159769.4</v>
      </c>
    </row>
    <row r="183" spans="1:16" ht="15" hidden="1">
      <c r="A183" s="354"/>
      <c r="B183" s="362" t="s">
        <v>632</v>
      </c>
      <c r="C183" s="344"/>
      <c r="D183" s="344"/>
      <c r="E183" s="345">
        <v>14.5</v>
      </c>
      <c r="F183" s="345"/>
      <c r="G183" s="345"/>
      <c r="H183" s="345"/>
      <c r="I183" s="345"/>
      <c r="J183" s="345"/>
      <c r="K183" s="345">
        <v>6828.2500000000009</v>
      </c>
      <c r="L183" s="345"/>
      <c r="M183" s="345"/>
      <c r="N183" s="345"/>
      <c r="O183" s="345">
        <v>168069.75</v>
      </c>
      <c r="P183" s="355">
        <v>2016837</v>
      </c>
    </row>
    <row r="184" spans="1:16" ht="15" hidden="1">
      <c r="A184" s="356"/>
      <c r="B184" s="363" t="s">
        <v>633</v>
      </c>
      <c r="C184" s="340"/>
      <c r="D184" s="340"/>
      <c r="E184" s="338">
        <v>14</v>
      </c>
      <c r="F184" s="338"/>
      <c r="G184" s="338"/>
      <c r="H184" s="338"/>
      <c r="I184" s="338"/>
      <c r="J184" s="338"/>
      <c r="K184" s="338">
        <f>K174</f>
        <v>5216.2000000000007</v>
      </c>
      <c r="L184" s="338"/>
      <c r="M184" s="338"/>
      <c r="N184" s="338"/>
      <c r="O184" s="338">
        <f>O174+O175+O176+O177+O178</f>
        <v>134675.20000000001</v>
      </c>
      <c r="P184" s="357">
        <v>1821556.8</v>
      </c>
    </row>
    <row r="185" spans="1:16" ht="15" hidden="1">
      <c r="A185" s="356"/>
      <c r="B185" s="363" t="s">
        <v>634</v>
      </c>
      <c r="C185" s="340"/>
      <c r="D185" s="340"/>
      <c r="E185" s="338">
        <v>1</v>
      </c>
      <c r="F185" s="338"/>
      <c r="G185" s="338"/>
      <c r="H185" s="338"/>
      <c r="I185" s="338"/>
      <c r="J185" s="338"/>
      <c r="K185" s="338"/>
      <c r="L185" s="338"/>
      <c r="M185" s="338">
        <v>716.30000000000007</v>
      </c>
      <c r="N185" s="338"/>
      <c r="O185" s="338">
        <v>7879.3</v>
      </c>
      <c r="P185" s="357">
        <v>94551.6</v>
      </c>
    </row>
    <row r="186" spans="1:16" ht="15.75" hidden="1" thickBot="1">
      <c r="A186" s="401"/>
      <c r="B186" s="388" t="s">
        <v>635</v>
      </c>
      <c r="C186" s="387"/>
      <c r="D186" s="387"/>
      <c r="E186" s="389">
        <v>3</v>
      </c>
      <c r="F186" s="389"/>
      <c r="G186" s="389"/>
      <c r="H186" s="389"/>
      <c r="I186" s="389"/>
      <c r="J186" s="389"/>
      <c r="K186" s="389"/>
      <c r="L186" s="389"/>
      <c r="M186" s="389"/>
      <c r="N186" s="389"/>
      <c r="O186" s="389">
        <v>22152</v>
      </c>
      <c r="P186" s="402">
        <v>226824</v>
      </c>
    </row>
    <row r="187" spans="1:16" ht="15.75" hidden="1" thickBot="1">
      <c r="A187" s="853" t="s">
        <v>677</v>
      </c>
      <c r="B187" s="854"/>
      <c r="C187" s="854"/>
      <c r="D187" s="854"/>
      <c r="E187" s="854"/>
      <c r="F187" s="854"/>
      <c r="G187" s="854"/>
      <c r="H187" s="854"/>
      <c r="I187" s="854"/>
      <c r="J187" s="854"/>
      <c r="K187" s="854"/>
      <c r="L187" s="854"/>
      <c r="M187" s="854"/>
      <c r="N187" s="854"/>
      <c r="O187" s="854"/>
      <c r="P187" s="855"/>
    </row>
    <row r="188" spans="1:16" hidden="1">
      <c r="A188" s="442"/>
      <c r="B188" s="314"/>
      <c r="C188" s="315"/>
      <c r="D188" s="315"/>
      <c r="E188" s="443"/>
      <c r="F188" s="504"/>
      <c r="G188" s="409"/>
      <c r="H188" s="409"/>
      <c r="I188" s="409"/>
      <c r="J188" s="444"/>
      <c r="K188" s="409"/>
      <c r="L188" s="409"/>
      <c r="M188" s="316"/>
      <c r="N188" s="337"/>
      <c r="O188" s="316"/>
      <c r="P188" s="350">
        <v>223470</v>
      </c>
    </row>
    <row r="189" spans="1:16" hidden="1">
      <c r="A189" s="351"/>
      <c r="B189" s="318"/>
      <c r="C189" s="324"/>
      <c r="D189" s="324"/>
      <c r="E189" s="451"/>
      <c r="F189" s="469"/>
      <c r="G189" s="453"/>
      <c r="H189" s="407"/>
      <c r="I189" s="407"/>
      <c r="J189" s="428"/>
      <c r="K189" s="407"/>
      <c r="L189" s="407"/>
      <c r="M189" s="317"/>
      <c r="N189" s="337"/>
      <c r="O189" s="317"/>
      <c r="P189" s="352">
        <v>473130</v>
      </c>
    </row>
    <row r="190" spans="1:16" hidden="1">
      <c r="A190" s="396"/>
      <c r="B190" s="318"/>
      <c r="C190" s="320"/>
      <c r="D190" s="324"/>
      <c r="E190" s="451"/>
      <c r="F190" s="469"/>
      <c r="G190" s="453"/>
      <c r="H190" s="407"/>
      <c r="I190" s="407"/>
      <c r="J190" s="428"/>
      <c r="K190" s="407"/>
      <c r="L190" s="407"/>
      <c r="M190" s="317"/>
      <c r="N190" s="337"/>
      <c r="O190" s="317"/>
      <c r="P190" s="352">
        <v>390420</v>
      </c>
    </row>
    <row r="191" spans="1:16" hidden="1">
      <c r="A191" s="351"/>
      <c r="B191" s="318"/>
      <c r="C191" s="320"/>
      <c r="D191" s="324"/>
      <c r="E191" s="468"/>
      <c r="F191" s="469"/>
      <c r="G191" s="453"/>
      <c r="H191" s="407"/>
      <c r="I191" s="407"/>
      <c r="J191" s="428"/>
      <c r="K191" s="407"/>
      <c r="L191" s="407"/>
      <c r="M191" s="317"/>
      <c r="N191" s="337"/>
      <c r="O191" s="317"/>
      <c r="P191" s="352">
        <v>125088</v>
      </c>
    </row>
    <row r="192" spans="1:16" hidden="1">
      <c r="A192" s="396"/>
      <c r="B192" s="318"/>
      <c r="C192" s="323"/>
      <c r="D192" s="324"/>
      <c r="E192" s="451"/>
      <c r="F192" s="455"/>
      <c r="G192" s="453"/>
      <c r="H192" s="407"/>
      <c r="I192" s="407"/>
      <c r="J192" s="428"/>
      <c r="K192" s="407"/>
      <c r="L192" s="407"/>
      <c r="M192" s="317"/>
      <c r="N192" s="337"/>
      <c r="O192" s="317"/>
      <c r="P192" s="352">
        <v>360144</v>
      </c>
    </row>
    <row r="193" spans="1:16" hidden="1">
      <c r="A193" s="351"/>
      <c r="B193" s="318"/>
      <c r="C193" s="323"/>
      <c r="D193" s="324"/>
      <c r="E193" s="451"/>
      <c r="F193" s="455"/>
      <c r="G193" s="453"/>
      <c r="H193" s="407"/>
      <c r="I193" s="407"/>
      <c r="J193" s="428"/>
      <c r="K193" s="407"/>
      <c r="L193" s="407"/>
      <c r="M193" s="317"/>
      <c r="N193" s="337"/>
      <c r="O193" s="317"/>
      <c r="P193" s="352">
        <v>113808</v>
      </c>
    </row>
    <row r="194" spans="1:16" hidden="1">
      <c r="A194" s="396"/>
      <c r="B194" s="318"/>
      <c r="C194" s="320"/>
      <c r="D194" s="324"/>
      <c r="E194" s="451"/>
      <c r="F194" s="455"/>
      <c r="G194" s="453"/>
      <c r="H194" s="407"/>
      <c r="I194" s="407"/>
      <c r="J194" s="428"/>
      <c r="K194" s="407"/>
      <c r="L194" s="407"/>
      <c r="M194" s="317"/>
      <c r="N194" s="337"/>
      <c r="O194" s="317"/>
      <c r="P194" s="352">
        <v>176402.40000000002</v>
      </c>
    </row>
    <row r="195" spans="1:16" hidden="1">
      <c r="A195" s="351"/>
      <c r="B195" s="318"/>
      <c r="C195" s="324"/>
      <c r="D195" s="324"/>
      <c r="E195" s="451"/>
      <c r="F195" s="455"/>
      <c r="G195" s="453"/>
      <c r="H195" s="407"/>
      <c r="I195" s="407"/>
      <c r="J195" s="428"/>
      <c r="K195" s="407"/>
      <c r="L195" s="407"/>
      <c r="M195" s="317"/>
      <c r="N195" s="337"/>
      <c r="O195" s="317"/>
      <c r="P195" s="352">
        <v>910464</v>
      </c>
    </row>
    <row r="196" spans="1:16" hidden="1">
      <c r="A196" s="396"/>
      <c r="B196" s="318"/>
      <c r="C196" s="320"/>
      <c r="D196" s="324"/>
      <c r="E196" s="451"/>
      <c r="F196" s="455"/>
      <c r="G196" s="453"/>
      <c r="H196" s="407"/>
      <c r="I196" s="407"/>
      <c r="J196" s="407"/>
      <c r="K196" s="407"/>
      <c r="L196" s="407"/>
      <c r="M196" s="317"/>
      <c r="N196" s="337"/>
      <c r="O196" s="317"/>
      <c r="P196" s="352">
        <v>105852</v>
      </c>
    </row>
    <row r="197" spans="1:16" hidden="1">
      <c r="A197" s="351"/>
      <c r="B197" s="318"/>
      <c r="C197" s="320"/>
      <c r="D197" s="324"/>
      <c r="E197" s="451"/>
      <c r="F197" s="455"/>
      <c r="G197" s="453"/>
      <c r="H197" s="407"/>
      <c r="I197" s="407"/>
      <c r="J197" s="407"/>
      <c r="K197" s="407"/>
      <c r="L197" s="407"/>
      <c r="M197" s="317"/>
      <c r="N197" s="337"/>
      <c r="O197" s="317"/>
      <c r="P197" s="352">
        <v>203736</v>
      </c>
    </row>
    <row r="198" spans="1:16" hidden="1">
      <c r="A198" s="396"/>
      <c r="B198" s="318"/>
      <c r="C198" s="320"/>
      <c r="D198" s="324"/>
      <c r="E198" s="451"/>
      <c r="F198" s="455"/>
      <c r="G198" s="453"/>
      <c r="H198" s="407"/>
      <c r="I198" s="407"/>
      <c r="J198" s="407"/>
      <c r="K198" s="407"/>
      <c r="L198" s="407"/>
      <c r="M198" s="317"/>
      <c r="N198" s="337"/>
      <c r="O198" s="317"/>
      <c r="P198" s="352">
        <v>97896</v>
      </c>
    </row>
    <row r="199" spans="1:16" hidden="1">
      <c r="A199" s="351"/>
      <c r="B199" s="318"/>
      <c r="C199" s="320"/>
      <c r="D199" s="324"/>
      <c r="E199" s="451"/>
      <c r="F199" s="455"/>
      <c r="G199" s="453"/>
      <c r="H199" s="407"/>
      <c r="I199" s="407"/>
      <c r="J199" s="407"/>
      <c r="K199" s="407"/>
      <c r="L199" s="407"/>
      <c r="M199" s="317"/>
      <c r="N199" s="337"/>
      <c r="O199" s="317"/>
      <c r="P199" s="352">
        <v>93912</v>
      </c>
    </row>
    <row r="200" spans="1:16" ht="13.5" hidden="1" thickBot="1">
      <c r="A200" s="397"/>
      <c r="B200" s="341"/>
      <c r="C200" s="373"/>
      <c r="D200" s="342"/>
      <c r="E200" s="343"/>
      <c r="F200" s="503"/>
      <c r="G200" s="317"/>
      <c r="H200" s="343"/>
      <c r="I200" s="343"/>
      <c r="J200" s="343"/>
      <c r="K200" s="343"/>
      <c r="L200" s="424"/>
      <c r="M200" s="343"/>
      <c r="N200" s="337"/>
      <c r="O200" s="317"/>
      <c r="P200" s="353">
        <v>189103.2</v>
      </c>
    </row>
    <row r="201" spans="1:16" ht="15.75" hidden="1" thickBot="1">
      <c r="A201" s="850" t="s">
        <v>637</v>
      </c>
      <c r="B201" s="851"/>
      <c r="C201" s="851"/>
      <c r="D201" s="852"/>
      <c r="E201" s="347">
        <f>SUM(E188:E200)</f>
        <v>0</v>
      </c>
      <c r="F201" s="347"/>
      <c r="G201" s="348"/>
      <c r="H201" s="348"/>
      <c r="I201" s="348"/>
      <c r="J201" s="348"/>
      <c r="K201" s="348"/>
      <c r="L201" s="348"/>
      <c r="M201" s="348"/>
      <c r="N201" s="348"/>
      <c r="O201" s="403">
        <f>SUM(O188:O200)</f>
        <v>0</v>
      </c>
      <c r="P201" s="404">
        <v>3463425.6</v>
      </c>
    </row>
    <row r="202" spans="1:16" ht="15" hidden="1">
      <c r="A202" s="376"/>
      <c r="B202" s="377" t="s">
        <v>632</v>
      </c>
      <c r="C202" s="378"/>
      <c r="D202" s="378"/>
      <c r="E202" s="379">
        <f>E188+E189+E190+E191+E192+E193</f>
        <v>0</v>
      </c>
      <c r="F202" s="379"/>
      <c r="G202" s="379"/>
      <c r="H202" s="379"/>
      <c r="I202" s="379"/>
      <c r="J202" s="379"/>
      <c r="K202" s="379">
        <v>6207.5</v>
      </c>
      <c r="L202" s="379"/>
      <c r="M202" s="379"/>
      <c r="N202" s="379"/>
      <c r="O202" s="379">
        <f>O188+O189+O190+O191+O192+O193</f>
        <v>0</v>
      </c>
      <c r="P202" s="398">
        <v>1686060</v>
      </c>
    </row>
    <row r="203" spans="1:16" ht="15" hidden="1">
      <c r="A203" s="356"/>
      <c r="B203" s="363" t="s">
        <v>633</v>
      </c>
      <c r="C203" s="340"/>
      <c r="D203" s="340"/>
      <c r="E203" s="338">
        <f>E194+E195+E196+E197+E198</f>
        <v>0</v>
      </c>
      <c r="F203" s="338"/>
      <c r="G203" s="338"/>
      <c r="H203" s="338"/>
      <c r="I203" s="338"/>
      <c r="J203" s="338"/>
      <c r="K203" s="338">
        <v>5216.2000000000007</v>
      </c>
      <c r="L203" s="338"/>
      <c r="M203" s="338"/>
      <c r="N203" s="338"/>
      <c r="O203" s="338">
        <f>O194+O195+O196+O197+O198</f>
        <v>0</v>
      </c>
      <c r="P203" s="357">
        <v>1494350.4</v>
      </c>
    </row>
    <row r="204" spans="1:16" ht="15" hidden="1">
      <c r="A204" s="356"/>
      <c r="B204" s="363" t="s">
        <v>634</v>
      </c>
      <c r="C204" s="340"/>
      <c r="D204" s="340"/>
      <c r="E204" s="338">
        <v>2</v>
      </c>
      <c r="F204" s="338"/>
      <c r="G204" s="338"/>
      <c r="H204" s="338"/>
      <c r="I204" s="338"/>
      <c r="J204" s="338"/>
      <c r="K204" s="338"/>
      <c r="L204" s="338"/>
      <c r="M204" s="338">
        <f>M200*E200</f>
        <v>0</v>
      </c>
      <c r="N204" s="338"/>
      <c r="O204" s="338">
        <v>15758.6</v>
      </c>
      <c r="P204" s="357">
        <v>189103.2</v>
      </c>
    </row>
    <row r="205" spans="1:16" ht="15.75" hidden="1" thickBot="1">
      <c r="A205" s="358"/>
      <c r="B205" s="364" t="s">
        <v>635</v>
      </c>
      <c r="C205" s="359"/>
      <c r="D205" s="359"/>
      <c r="E205" s="360">
        <v>1</v>
      </c>
      <c r="F205" s="360"/>
      <c r="G205" s="360"/>
      <c r="H205" s="360"/>
      <c r="I205" s="360"/>
      <c r="J205" s="360"/>
      <c r="K205" s="360"/>
      <c r="L205" s="360"/>
      <c r="M205" s="360"/>
      <c r="N205" s="360"/>
      <c r="O205" s="360">
        <v>7826</v>
      </c>
      <c r="P205" s="361">
        <v>93912</v>
      </c>
    </row>
    <row r="206" spans="1:16" ht="15.75" thickBot="1">
      <c r="A206" s="853" t="s">
        <v>679</v>
      </c>
      <c r="B206" s="854"/>
      <c r="C206" s="854"/>
      <c r="D206" s="854"/>
      <c r="E206" s="854"/>
      <c r="F206" s="854"/>
      <c r="G206" s="854"/>
      <c r="H206" s="854"/>
      <c r="I206" s="854"/>
      <c r="J206" s="854"/>
      <c r="K206" s="854"/>
      <c r="L206" s="854"/>
      <c r="M206" s="854"/>
      <c r="N206" s="854"/>
      <c r="O206" s="854"/>
      <c r="P206" s="855"/>
    </row>
    <row r="207" spans="1:16">
      <c r="A207" s="442">
        <v>1</v>
      </c>
      <c r="B207" s="314" t="s">
        <v>505</v>
      </c>
      <c r="C207" s="315"/>
      <c r="D207" s="315" t="s">
        <v>629</v>
      </c>
      <c r="E207" s="443">
        <v>1</v>
      </c>
      <c r="F207" s="504">
        <v>1.91</v>
      </c>
      <c r="G207" s="409">
        <v>12415</v>
      </c>
      <c r="H207" s="409"/>
      <c r="I207" s="409"/>
      <c r="J207" s="444" t="s">
        <v>674</v>
      </c>
      <c r="K207" s="409">
        <f>G207*J207</f>
        <v>7449</v>
      </c>
      <c r="L207" s="409"/>
      <c r="M207" s="316"/>
      <c r="N207" s="337">
        <f>K207+G207</f>
        <v>19864</v>
      </c>
      <c r="O207" s="316">
        <f>N207*E207</f>
        <v>19864</v>
      </c>
      <c r="P207" s="350">
        <v>230919</v>
      </c>
    </row>
    <row r="208" spans="1:16">
      <c r="A208" s="351">
        <v>2</v>
      </c>
      <c r="B208" s="318" t="s">
        <v>672</v>
      </c>
      <c r="C208" s="324" t="s">
        <v>559</v>
      </c>
      <c r="D208" s="324" t="s">
        <v>666</v>
      </c>
      <c r="E208" s="451">
        <f>6.5-1-1-1+3-1</f>
        <v>5.5</v>
      </c>
      <c r="F208" s="469">
        <v>1.7331000000000001</v>
      </c>
      <c r="G208" s="453">
        <v>11265</v>
      </c>
      <c r="H208" s="407"/>
      <c r="I208" s="407"/>
      <c r="J208" s="428"/>
      <c r="K208" s="407"/>
      <c r="L208" s="407"/>
      <c r="M208" s="317"/>
      <c r="N208" s="337">
        <v>11265</v>
      </c>
      <c r="O208" s="316">
        <f t="shared" ref="O208:O221" si="4">N208*E208</f>
        <v>61957.5</v>
      </c>
      <c r="P208" s="352">
        <v>878670</v>
      </c>
    </row>
    <row r="209" spans="1:16">
      <c r="A209" s="396">
        <v>3</v>
      </c>
      <c r="B209" s="318" t="s">
        <v>672</v>
      </c>
      <c r="C209" s="320" t="s">
        <v>673</v>
      </c>
      <c r="D209" s="324" t="s">
        <v>666</v>
      </c>
      <c r="E209" s="451">
        <f>1+2.5</f>
        <v>3.5</v>
      </c>
      <c r="F209" s="469">
        <v>1.6684000000000001</v>
      </c>
      <c r="G209" s="453">
        <v>10845</v>
      </c>
      <c r="H209" s="407"/>
      <c r="I209" s="407"/>
      <c r="J209" s="428"/>
      <c r="K209" s="407"/>
      <c r="L209" s="407"/>
      <c r="M209" s="317"/>
      <c r="N209" s="337">
        <v>10845</v>
      </c>
      <c r="O209" s="316">
        <f t="shared" si="4"/>
        <v>37957.5</v>
      </c>
      <c r="P209" s="352">
        <v>260280</v>
      </c>
    </row>
    <row r="210" spans="1:16">
      <c r="A210" s="351">
        <v>4</v>
      </c>
      <c r="B210" s="318" t="s">
        <v>672</v>
      </c>
      <c r="C210" s="323" t="s">
        <v>560</v>
      </c>
      <c r="D210" s="324" t="s">
        <v>666</v>
      </c>
      <c r="E210" s="451">
        <f>1+1-1+1</f>
        <v>2</v>
      </c>
      <c r="F210" s="455">
        <v>1.6036999999999999</v>
      </c>
      <c r="G210" s="453">
        <v>10424</v>
      </c>
      <c r="H210" s="407"/>
      <c r="I210" s="407"/>
      <c r="J210" s="428"/>
      <c r="K210" s="407"/>
      <c r="L210" s="407"/>
      <c r="M210" s="317"/>
      <c r="N210" s="337">
        <v>10424</v>
      </c>
      <c r="O210" s="316">
        <f t="shared" si="4"/>
        <v>20848</v>
      </c>
      <c r="P210" s="352">
        <v>125088</v>
      </c>
    </row>
    <row r="211" spans="1:16">
      <c r="A211" s="351">
        <v>5</v>
      </c>
      <c r="B211" s="318" t="s">
        <v>672</v>
      </c>
      <c r="C211" s="323"/>
      <c r="D211" s="324" t="s">
        <v>666</v>
      </c>
      <c r="E211" s="451">
        <f>2+2+1</f>
        <v>5</v>
      </c>
      <c r="F211" s="455">
        <v>1.5389999999999999</v>
      </c>
      <c r="G211" s="453">
        <v>10004</v>
      </c>
      <c r="H211" s="407"/>
      <c r="I211" s="407"/>
      <c r="J211" s="428"/>
      <c r="K211" s="407"/>
      <c r="L211" s="407"/>
      <c r="M211" s="317"/>
      <c r="N211" s="337">
        <v>10004</v>
      </c>
      <c r="O211" s="316">
        <f t="shared" si="4"/>
        <v>50020</v>
      </c>
      <c r="P211" s="352">
        <v>240096</v>
      </c>
    </row>
    <row r="212" spans="1:16">
      <c r="A212" s="442">
        <v>6</v>
      </c>
      <c r="B212" s="318" t="s">
        <v>418</v>
      </c>
      <c r="C212" s="323"/>
      <c r="D212" s="324">
        <v>3229</v>
      </c>
      <c r="E212" s="451">
        <f>1+1-1</f>
        <v>1</v>
      </c>
      <c r="F212" s="455">
        <v>1.4590000000000001</v>
      </c>
      <c r="G212" s="453">
        <v>9484</v>
      </c>
      <c r="H212" s="407"/>
      <c r="I212" s="407"/>
      <c r="J212" s="428"/>
      <c r="K212" s="407"/>
      <c r="L212" s="407"/>
      <c r="M212" s="317"/>
      <c r="N212" s="337">
        <v>9484</v>
      </c>
      <c r="O212" s="316">
        <f t="shared" si="4"/>
        <v>9484</v>
      </c>
      <c r="P212" s="352"/>
    </row>
    <row r="213" spans="1:16">
      <c r="A213" s="351">
        <v>7</v>
      </c>
      <c r="B213" s="318" t="s">
        <v>661</v>
      </c>
      <c r="C213" s="320"/>
      <c r="D213" s="324">
        <v>3231</v>
      </c>
      <c r="E213" s="451">
        <v>1</v>
      </c>
      <c r="F213" s="455">
        <v>1.4590000000000001</v>
      </c>
      <c r="G213" s="453">
        <v>9484</v>
      </c>
      <c r="H213" s="407"/>
      <c r="I213" s="407"/>
      <c r="J213" s="428" t="s">
        <v>674</v>
      </c>
      <c r="K213" s="407">
        <f>G213*J213</f>
        <v>5690.4</v>
      </c>
      <c r="L213" s="407"/>
      <c r="M213" s="317"/>
      <c r="N213" s="337">
        <f>K213+G213</f>
        <v>15174.4</v>
      </c>
      <c r="O213" s="316">
        <f>N213*E213</f>
        <v>15174.4</v>
      </c>
      <c r="P213" s="352">
        <v>176402.40000000002</v>
      </c>
    </row>
    <row r="214" spans="1:16">
      <c r="A214" s="396">
        <v>8</v>
      </c>
      <c r="B214" s="318" t="s">
        <v>663</v>
      </c>
      <c r="C214" s="324" t="s">
        <v>559</v>
      </c>
      <c r="D214" s="324">
        <v>3231</v>
      </c>
      <c r="E214" s="451">
        <f>7-1-1+5</f>
        <v>10</v>
      </c>
      <c r="F214" s="455">
        <v>1.4590000000000001</v>
      </c>
      <c r="G214" s="453">
        <v>9484</v>
      </c>
      <c r="H214" s="407"/>
      <c r="I214" s="407"/>
      <c r="J214" s="428"/>
      <c r="K214" s="407"/>
      <c r="L214" s="407"/>
      <c r="M214" s="317"/>
      <c r="N214" s="337">
        <v>9484</v>
      </c>
      <c r="O214" s="316">
        <f t="shared" si="4"/>
        <v>94840</v>
      </c>
      <c r="P214" s="352">
        <v>796656</v>
      </c>
    </row>
    <row r="215" spans="1:16">
      <c r="A215" s="351">
        <v>9</v>
      </c>
      <c r="B215" s="318" t="s">
        <v>663</v>
      </c>
      <c r="C215" s="320" t="s">
        <v>673</v>
      </c>
      <c r="D215" s="324">
        <v>3231</v>
      </c>
      <c r="E215" s="451">
        <f>3-1-1</f>
        <v>1</v>
      </c>
      <c r="F215" s="455">
        <v>1.4079999999999999</v>
      </c>
      <c r="G215" s="453">
        <v>9152</v>
      </c>
      <c r="H215" s="407"/>
      <c r="I215" s="407"/>
      <c r="J215" s="428"/>
      <c r="K215" s="407"/>
      <c r="L215" s="407"/>
      <c r="M215" s="317"/>
      <c r="N215" s="337">
        <v>9152</v>
      </c>
      <c r="O215" s="316">
        <f t="shared" si="4"/>
        <v>9152</v>
      </c>
      <c r="P215" s="352">
        <v>439296</v>
      </c>
    </row>
    <row r="216" spans="1:16">
      <c r="A216" s="351">
        <v>10</v>
      </c>
      <c r="B216" s="318" t="s">
        <v>663</v>
      </c>
      <c r="C216" s="320" t="s">
        <v>560</v>
      </c>
      <c r="D216" s="324">
        <v>3231</v>
      </c>
      <c r="E216" s="451">
        <v>1</v>
      </c>
      <c r="F216" s="455">
        <v>1.357</v>
      </c>
      <c r="G216" s="453">
        <v>8821</v>
      </c>
      <c r="H216" s="407"/>
      <c r="I216" s="407"/>
      <c r="J216" s="407"/>
      <c r="K216" s="407"/>
      <c r="L216" s="407"/>
      <c r="M216" s="317"/>
      <c r="N216" s="337">
        <v>8821</v>
      </c>
      <c r="O216" s="317">
        <f t="shared" ref="O216:O217" si="5">E216*G216</f>
        <v>8821</v>
      </c>
      <c r="P216" s="352"/>
    </row>
    <row r="217" spans="1:16">
      <c r="A217" s="351">
        <v>11</v>
      </c>
      <c r="B217" s="318" t="s">
        <v>663</v>
      </c>
      <c r="C217" s="320"/>
      <c r="D217" s="324">
        <v>3231</v>
      </c>
      <c r="E217" s="451">
        <f>3-1</f>
        <v>2</v>
      </c>
      <c r="F217" s="455">
        <v>1.306</v>
      </c>
      <c r="G217" s="453">
        <v>8489</v>
      </c>
      <c r="H217" s="407"/>
      <c r="I217" s="407"/>
      <c r="J217" s="407"/>
      <c r="K217" s="407"/>
      <c r="L217" s="407"/>
      <c r="M217" s="317"/>
      <c r="N217" s="337">
        <v>8489</v>
      </c>
      <c r="O217" s="317">
        <f t="shared" si="5"/>
        <v>16978</v>
      </c>
      <c r="P217" s="352"/>
    </row>
    <row r="218" spans="1:16" hidden="1">
      <c r="A218" s="351"/>
      <c r="B218" s="318"/>
      <c r="C218" s="320"/>
      <c r="D218" s="324"/>
      <c r="E218" s="451"/>
      <c r="F218" s="455"/>
      <c r="G218" s="453"/>
      <c r="H218" s="407"/>
      <c r="I218" s="407"/>
      <c r="J218" s="407"/>
      <c r="K218" s="407"/>
      <c r="L218" s="407"/>
      <c r="M218" s="317"/>
      <c r="N218" s="337"/>
      <c r="O218" s="317"/>
      <c r="P218" s="352"/>
    </row>
    <row r="219" spans="1:16">
      <c r="A219" s="351">
        <v>12</v>
      </c>
      <c r="B219" s="318" t="s">
        <v>508</v>
      </c>
      <c r="C219" s="320"/>
      <c r="D219" s="324">
        <v>4222</v>
      </c>
      <c r="E219" s="451">
        <f>2+1</f>
        <v>3</v>
      </c>
      <c r="F219" s="455">
        <v>1.204</v>
      </c>
      <c r="G219" s="453">
        <v>7826</v>
      </c>
      <c r="H219" s="407"/>
      <c r="I219" s="407"/>
      <c r="J219" s="428"/>
      <c r="K219" s="407"/>
      <c r="L219" s="407"/>
      <c r="M219" s="317"/>
      <c r="N219" s="337">
        <v>7826</v>
      </c>
      <c r="O219" s="316">
        <f t="shared" si="4"/>
        <v>23478</v>
      </c>
      <c r="P219" s="352">
        <v>187824</v>
      </c>
    </row>
    <row r="220" spans="1:16" ht="13.5" thickBot="1">
      <c r="A220" s="396">
        <v>13</v>
      </c>
      <c r="B220" s="341" t="s">
        <v>647</v>
      </c>
      <c r="C220" s="373"/>
      <c r="D220" s="342">
        <v>5132</v>
      </c>
      <c r="E220" s="452">
        <f>2+2</f>
        <v>4</v>
      </c>
      <c r="F220" s="482">
        <v>1.1020000000000001</v>
      </c>
      <c r="G220" s="483">
        <v>7163</v>
      </c>
      <c r="H220" s="408"/>
      <c r="I220" s="408"/>
      <c r="J220" s="430"/>
      <c r="K220" s="408"/>
      <c r="L220" s="429" t="s">
        <v>648</v>
      </c>
      <c r="M220" s="343">
        <v>716.30000000000007</v>
      </c>
      <c r="N220" s="366">
        <v>7879.3</v>
      </c>
      <c r="O220" s="316">
        <f t="shared" si="4"/>
        <v>31517.200000000001</v>
      </c>
      <c r="P220" s="352">
        <v>189103.2</v>
      </c>
    </row>
    <row r="221" spans="1:16" ht="13.5" hidden="1" thickBot="1">
      <c r="A221" s="351">
        <v>14</v>
      </c>
      <c r="B221" s="335" t="s">
        <v>423</v>
      </c>
      <c r="C221" s="334"/>
      <c r="D221" s="336">
        <v>9152</v>
      </c>
      <c r="E221" s="337">
        <v>0</v>
      </c>
      <c r="F221" s="455">
        <v>1</v>
      </c>
      <c r="G221" s="337"/>
      <c r="H221" s="337"/>
      <c r="I221" s="337"/>
      <c r="J221" s="484"/>
      <c r="K221" s="337"/>
      <c r="L221" s="337"/>
      <c r="M221" s="337"/>
      <c r="N221" s="337"/>
      <c r="O221" s="316">
        <f t="shared" si="4"/>
        <v>0</v>
      </c>
      <c r="P221" s="459">
        <v>39000</v>
      </c>
    </row>
    <row r="222" spans="1:16" ht="15.75" thickBot="1">
      <c r="A222" s="860" t="s">
        <v>637</v>
      </c>
      <c r="B222" s="861"/>
      <c r="C222" s="861"/>
      <c r="D222" s="862"/>
      <c r="E222" s="485">
        <f>SUM(E207:E221)</f>
        <v>40</v>
      </c>
      <c r="F222" s="485"/>
      <c r="G222" s="486"/>
      <c r="H222" s="486"/>
      <c r="I222" s="486"/>
      <c r="J222" s="486"/>
      <c r="K222" s="486"/>
      <c r="L222" s="486"/>
      <c r="M222" s="486"/>
      <c r="N222" s="486"/>
      <c r="O222" s="487">
        <f>SUM(O207:O221)</f>
        <v>400091.60000000003</v>
      </c>
      <c r="P222" s="404">
        <v>3665202.6</v>
      </c>
    </row>
    <row r="223" spans="1:16" ht="15" hidden="1">
      <c r="A223" s="354"/>
      <c r="B223" s="362" t="s">
        <v>632</v>
      </c>
      <c r="C223" s="344"/>
      <c r="D223" s="344"/>
      <c r="E223" s="345">
        <f>E207+E208+E209+E210+E211+E212</f>
        <v>18</v>
      </c>
      <c r="F223" s="345"/>
      <c r="G223" s="345"/>
      <c r="H223" s="345"/>
      <c r="I223" s="345"/>
      <c r="J223" s="345"/>
      <c r="K223" s="345">
        <f>K207</f>
        <v>7449</v>
      </c>
      <c r="L223" s="345"/>
      <c r="M223" s="345"/>
      <c r="N223" s="345"/>
      <c r="O223" s="345">
        <f>O207+O208+O209+O210+O211+O212</f>
        <v>200131</v>
      </c>
      <c r="P223" s="355">
        <v>1735053</v>
      </c>
    </row>
    <row r="224" spans="1:16" ht="15" hidden="1">
      <c r="A224" s="356"/>
      <c r="B224" s="363" t="s">
        <v>633</v>
      </c>
      <c r="C224" s="340"/>
      <c r="D224" s="340"/>
      <c r="E224" s="338">
        <f>E213+E214+E215</f>
        <v>12</v>
      </c>
      <c r="F224" s="338"/>
      <c r="G224" s="338"/>
      <c r="H224" s="338"/>
      <c r="I224" s="338"/>
      <c r="J224" s="338"/>
      <c r="K224" s="338">
        <f>K213</f>
        <v>5690.4</v>
      </c>
      <c r="L224" s="338"/>
      <c r="M224" s="338"/>
      <c r="N224" s="338"/>
      <c r="O224" s="338">
        <f>O213+O214+O215</f>
        <v>119166.39999999999</v>
      </c>
      <c r="P224" s="357">
        <v>1514222.4</v>
      </c>
    </row>
    <row r="225" spans="1:16" ht="15" hidden="1">
      <c r="A225" s="356"/>
      <c r="B225" s="363" t="s">
        <v>634</v>
      </c>
      <c r="C225" s="340"/>
      <c r="D225" s="340"/>
      <c r="E225" s="338">
        <v>2</v>
      </c>
      <c r="F225" s="338"/>
      <c r="G225" s="338"/>
      <c r="H225" s="338"/>
      <c r="I225" s="338"/>
      <c r="J225" s="338"/>
      <c r="K225" s="338"/>
      <c r="L225" s="338"/>
      <c r="M225" s="338">
        <f>M220*E220</f>
        <v>2865.2000000000003</v>
      </c>
      <c r="N225" s="338"/>
      <c r="O225" s="338">
        <v>15758.6</v>
      </c>
      <c r="P225" s="357">
        <v>189103.2</v>
      </c>
    </row>
    <row r="226" spans="1:16" ht="15.75" hidden="1" thickBot="1">
      <c r="A226" s="401"/>
      <c r="B226" s="388" t="s">
        <v>635</v>
      </c>
      <c r="C226" s="387"/>
      <c r="D226" s="387"/>
      <c r="E226" s="389">
        <f>E221+E219</f>
        <v>3</v>
      </c>
      <c r="F226" s="389"/>
      <c r="G226" s="389"/>
      <c r="H226" s="389"/>
      <c r="I226" s="389"/>
      <c r="J226" s="389"/>
      <c r="K226" s="389"/>
      <c r="L226" s="389"/>
      <c r="M226" s="389"/>
      <c r="N226" s="389"/>
      <c r="O226" s="389">
        <v>22152</v>
      </c>
      <c r="P226" s="402">
        <v>226824</v>
      </c>
    </row>
    <row r="227" spans="1:16" ht="15.75" thickBot="1">
      <c r="A227" s="863" t="s">
        <v>683</v>
      </c>
      <c r="B227" s="854"/>
      <c r="C227" s="854"/>
      <c r="D227" s="854"/>
      <c r="E227" s="854"/>
      <c r="F227" s="854"/>
      <c r="G227" s="854"/>
      <c r="H227" s="854"/>
      <c r="I227" s="854"/>
      <c r="J227" s="854"/>
      <c r="K227" s="854"/>
      <c r="L227" s="854"/>
      <c r="M227" s="854"/>
      <c r="N227" s="854"/>
      <c r="O227" s="854"/>
      <c r="P227" s="855"/>
    </row>
    <row r="228" spans="1:16" s="522" customFormat="1">
      <c r="A228" s="392">
        <v>1</v>
      </c>
      <c r="B228" s="330" t="s">
        <v>505</v>
      </c>
      <c r="C228" s="332"/>
      <c r="D228" s="332" t="s">
        <v>629</v>
      </c>
      <c r="E228" s="333">
        <v>1</v>
      </c>
      <c r="F228" s="577">
        <v>1.91</v>
      </c>
      <c r="G228" s="333">
        <v>12415</v>
      </c>
      <c r="H228" s="333"/>
      <c r="I228" s="333"/>
      <c r="J228" s="578" t="s">
        <v>662</v>
      </c>
      <c r="K228" s="333">
        <f>G228*J228</f>
        <v>6828.2500000000009</v>
      </c>
      <c r="L228" s="333"/>
      <c r="M228" s="333"/>
      <c r="N228" s="494">
        <f>G228+K228</f>
        <v>19243.25</v>
      </c>
      <c r="O228" s="333">
        <f t="shared" ref="O228:O235" si="6">N228*E228</f>
        <v>19243.25</v>
      </c>
      <c r="P228" s="393">
        <v>216021</v>
      </c>
    </row>
    <row r="229" spans="1:16" s="522" customFormat="1">
      <c r="A229" s="579">
        <v>2</v>
      </c>
      <c r="B229" s="580" t="s">
        <v>680</v>
      </c>
      <c r="C229" s="323" t="s">
        <v>559</v>
      </c>
      <c r="D229" s="323" t="s">
        <v>666</v>
      </c>
      <c r="E229" s="468">
        <f>5.5+4.5</f>
        <v>10</v>
      </c>
      <c r="F229" s="581">
        <v>1.7331000000000001</v>
      </c>
      <c r="G229" s="582">
        <v>11265</v>
      </c>
      <c r="H229" s="583"/>
      <c r="I229" s="583"/>
      <c r="J229" s="584"/>
      <c r="K229" s="583"/>
      <c r="L229" s="583"/>
      <c r="M229" s="583"/>
      <c r="N229" s="494">
        <v>11265</v>
      </c>
      <c r="O229" s="333">
        <f t="shared" si="6"/>
        <v>112650</v>
      </c>
      <c r="P229" s="395">
        <v>743490</v>
      </c>
    </row>
    <row r="230" spans="1:16" s="522" customFormat="1">
      <c r="A230" s="579">
        <v>3</v>
      </c>
      <c r="B230" s="580" t="s">
        <v>680</v>
      </c>
      <c r="C230" s="585" t="s">
        <v>560</v>
      </c>
      <c r="D230" s="323" t="s">
        <v>666</v>
      </c>
      <c r="E230" s="468">
        <v>2</v>
      </c>
      <c r="F230" s="581">
        <v>1.6036999999999999</v>
      </c>
      <c r="G230" s="582">
        <v>10424</v>
      </c>
      <c r="H230" s="583"/>
      <c r="I230" s="583"/>
      <c r="J230" s="584"/>
      <c r="K230" s="583"/>
      <c r="L230" s="583"/>
      <c r="M230" s="583"/>
      <c r="N230" s="494">
        <v>10424</v>
      </c>
      <c r="O230" s="333">
        <f t="shared" si="6"/>
        <v>20848</v>
      </c>
      <c r="P230" s="395"/>
    </row>
    <row r="231" spans="1:16" s="522" customFormat="1">
      <c r="A231" s="392">
        <v>4</v>
      </c>
      <c r="B231" s="580" t="s">
        <v>558</v>
      </c>
      <c r="C231" s="585"/>
      <c r="D231" s="323">
        <v>3231</v>
      </c>
      <c r="E231" s="468">
        <v>1</v>
      </c>
      <c r="F231" s="581">
        <v>1.4590000000000001</v>
      </c>
      <c r="G231" s="582">
        <v>9484</v>
      </c>
      <c r="H231" s="583"/>
      <c r="I231" s="583"/>
      <c r="J231" s="584" t="s">
        <v>674</v>
      </c>
      <c r="K231" s="583">
        <f>G231*J231</f>
        <v>5690.4</v>
      </c>
      <c r="L231" s="583"/>
      <c r="M231" s="583"/>
      <c r="N231" s="494">
        <f>K231+G231</f>
        <v>15174.4</v>
      </c>
      <c r="O231" s="333">
        <f t="shared" si="6"/>
        <v>15174.4</v>
      </c>
      <c r="P231" s="395">
        <v>170712</v>
      </c>
    </row>
    <row r="232" spans="1:16" s="522" customFormat="1">
      <c r="A232" s="579">
        <v>5</v>
      </c>
      <c r="B232" s="580" t="s">
        <v>663</v>
      </c>
      <c r="C232" s="323" t="s">
        <v>559</v>
      </c>
      <c r="D232" s="323">
        <v>3231</v>
      </c>
      <c r="E232" s="468">
        <f>3-1-1+4+1</f>
        <v>6</v>
      </c>
      <c r="F232" s="558">
        <v>1.4590000000000001</v>
      </c>
      <c r="G232" s="582">
        <v>9484</v>
      </c>
      <c r="H232" s="583"/>
      <c r="I232" s="583"/>
      <c r="J232" s="584"/>
      <c r="K232" s="583"/>
      <c r="L232" s="583"/>
      <c r="M232" s="583"/>
      <c r="N232" s="494">
        <v>9484</v>
      </c>
      <c r="O232" s="333">
        <f t="shared" si="6"/>
        <v>56904</v>
      </c>
      <c r="P232" s="395">
        <v>341424</v>
      </c>
    </row>
    <row r="233" spans="1:16" s="522" customFormat="1">
      <c r="A233" s="392">
        <v>7</v>
      </c>
      <c r="B233" s="580" t="s">
        <v>663</v>
      </c>
      <c r="C233" s="585" t="s">
        <v>560</v>
      </c>
      <c r="D233" s="323">
        <v>3231</v>
      </c>
      <c r="E233" s="468">
        <v>2</v>
      </c>
      <c r="F233" s="558">
        <v>1.357</v>
      </c>
      <c r="G233" s="582">
        <v>8821</v>
      </c>
      <c r="H233" s="583"/>
      <c r="I233" s="583"/>
      <c r="J233" s="584"/>
      <c r="K233" s="583"/>
      <c r="L233" s="583"/>
      <c r="M233" s="583"/>
      <c r="N233" s="494">
        <v>8821</v>
      </c>
      <c r="O233" s="333">
        <f t="shared" si="6"/>
        <v>17642</v>
      </c>
      <c r="P233" s="395">
        <v>211704</v>
      </c>
    </row>
    <row r="234" spans="1:16" s="522" customFormat="1">
      <c r="A234" s="579">
        <v>8</v>
      </c>
      <c r="B234" s="580" t="s">
        <v>663</v>
      </c>
      <c r="C234" s="585"/>
      <c r="D234" s="323">
        <v>3231</v>
      </c>
      <c r="E234" s="468">
        <f>1+2</f>
        <v>3</v>
      </c>
      <c r="F234" s="586">
        <v>1.306</v>
      </c>
      <c r="G234" s="582">
        <v>8489</v>
      </c>
      <c r="H234" s="583"/>
      <c r="I234" s="583"/>
      <c r="J234" s="584"/>
      <c r="K234" s="583"/>
      <c r="L234" s="583"/>
      <c r="M234" s="583"/>
      <c r="N234" s="494">
        <f>G234</f>
        <v>8489</v>
      </c>
      <c r="O234" s="333">
        <f t="shared" si="6"/>
        <v>25467</v>
      </c>
      <c r="P234" s="395"/>
    </row>
    <row r="235" spans="1:16" s="522" customFormat="1">
      <c r="A235" s="579">
        <v>9</v>
      </c>
      <c r="B235" s="580" t="s">
        <v>681</v>
      </c>
      <c r="C235" s="585"/>
      <c r="D235" s="323">
        <v>3231</v>
      </c>
      <c r="E235" s="468">
        <f>2+1</f>
        <v>3</v>
      </c>
      <c r="F235" s="558">
        <v>1.306</v>
      </c>
      <c r="G235" s="582">
        <v>8489</v>
      </c>
      <c r="H235" s="584" t="s">
        <v>682</v>
      </c>
      <c r="I235" s="583">
        <v>1697.8000000000002</v>
      </c>
      <c r="J235" s="584"/>
      <c r="K235" s="583"/>
      <c r="L235" s="584" t="s">
        <v>648</v>
      </c>
      <c r="M235" s="583">
        <v>848.90000000000009</v>
      </c>
      <c r="N235" s="494">
        <f>M235+I235+G235</f>
        <v>11035.7</v>
      </c>
      <c r="O235" s="333">
        <f t="shared" si="6"/>
        <v>33107.100000000006</v>
      </c>
      <c r="P235" s="395">
        <v>264856.8</v>
      </c>
    </row>
    <row r="236" spans="1:16" s="522" customFormat="1">
      <c r="A236" s="392">
        <v>10</v>
      </c>
      <c r="B236" s="580" t="s">
        <v>508</v>
      </c>
      <c r="C236" s="585"/>
      <c r="D236" s="323">
        <v>4222</v>
      </c>
      <c r="E236" s="468">
        <f>1+2</f>
        <v>3</v>
      </c>
      <c r="F236" s="558">
        <v>1.204</v>
      </c>
      <c r="G236" s="582">
        <v>7826</v>
      </c>
      <c r="H236" s="583"/>
      <c r="I236" s="583"/>
      <c r="J236" s="584"/>
      <c r="K236" s="583"/>
      <c r="L236" s="583"/>
      <c r="M236" s="583"/>
      <c r="N236" s="494">
        <v>7826</v>
      </c>
      <c r="O236" s="333">
        <f t="shared" ref="O236:O238" si="7">N236*E236</f>
        <v>23478</v>
      </c>
      <c r="P236" s="395">
        <v>93912</v>
      </c>
    </row>
    <row r="237" spans="1:16" s="522" customFormat="1" ht="13.5" thickBot="1">
      <c r="A237" s="579">
        <v>11</v>
      </c>
      <c r="B237" s="369" t="s">
        <v>647</v>
      </c>
      <c r="C237" s="587"/>
      <c r="D237" s="371">
        <v>5132</v>
      </c>
      <c r="E237" s="372">
        <f>2+2</f>
        <v>4</v>
      </c>
      <c r="F237" s="577">
        <v>1.1020000000000001</v>
      </c>
      <c r="G237" s="583">
        <v>7163</v>
      </c>
      <c r="H237" s="372"/>
      <c r="I237" s="372"/>
      <c r="J237" s="588"/>
      <c r="K237" s="372"/>
      <c r="L237" s="584" t="s">
        <v>648</v>
      </c>
      <c r="M237" s="372">
        <v>716.30000000000007</v>
      </c>
      <c r="N237" s="494">
        <f>M237+G237</f>
        <v>7879.3</v>
      </c>
      <c r="O237" s="333">
        <f t="shared" si="7"/>
        <v>31517.200000000001</v>
      </c>
      <c r="P237" s="411">
        <v>189103.2</v>
      </c>
    </row>
    <row r="238" spans="1:16" s="522" customFormat="1" ht="13.5" hidden="1" thickBot="1">
      <c r="A238" s="579">
        <v>12</v>
      </c>
      <c r="B238" s="369" t="s">
        <v>423</v>
      </c>
      <c r="C238" s="371"/>
      <c r="D238" s="371">
        <v>9152</v>
      </c>
      <c r="E238" s="372">
        <v>0</v>
      </c>
      <c r="F238" s="577">
        <v>1</v>
      </c>
      <c r="G238" s="583"/>
      <c r="H238" s="372"/>
      <c r="I238" s="372"/>
      <c r="J238" s="588"/>
      <c r="K238" s="372"/>
      <c r="L238" s="372"/>
      <c r="M238" s="372"/>
      <c r="N238" s="494"/>
      <c r="O238" s="333">
        <f t="shared" si="7"/>
        <v>0</v>
      </c>
      <c r="P238" s="589"/>
    </row>
    <row r="239" spans="1:16" s="522" customFormat="1" ht="15.75" thickBot="1">
      <c r="A239" s="864" t="s">
        <v>637</v>
      </c>
      <c r="B239" s="851"/>
      <c r="C239" s="851"/>
      <c r="D239" s="852"/>
      <c r="E239" s="590">
        <f>SUM(E228:E238)</f>
        <v>35</v>
      </c>
      <c r="F239" s="590"/>
      <c r="G239" s="591"/>
      <c r="H239" s="591"/>
      <c r="I239" s="591"/>
      <c r="J239" s="591"/>
      <c r="K239" s="591"/>
      <c r="L239" s="591"/>
      <c r="M239" s="591"/>
      <c r="N239" s="591"/>
      <c r="O239" s="556">
        <f>SUM(O228:O238)</f>
        <v>356030.95</v>
      </c>
      <c r="P239" s="592">
        <v>2558991</v>
      </c>
    </row>
    <row r="240" spans="1:16" s="522" customFormat="1" ht="17.25" hidden="1" customHeight="1">
      <c r="A240" s="593"/>
      <c r="B240" s="362" t="s">
        <v>632</v>
      </c>
      <c r="C240" s="344"/>
      <c r="D240" s="344"/>
      <c r="E240" s="594">
        <f>E228+E229+E230</f>
        <v>13</v>
      </c>
      <c r="F240" s="594"/>
      <c r="G240" s="594"/>
      <c r="H240" s="594"/>
      <c r="I240" s="594"/>
      <c r="J240" s="594"/>
      <c r="K240" s="594">
        <f>K228</f>
        <v>6828.2500000000009</v>
      </c>
      <c r="L240" s="594"/>
      <c r="M240" s="594"/>
      <c r="N240" s="594"/>
      <c r="O240" s="594">
        <f>O228+O229+O230</f>
        <v>152741.25</v>
      </c>
      <c r="P240" s="595">
        <v>1079559</v>
      </c>
    </row>
    <row r="241" spans="1:16" s="522" customFormat="1" ht="15" hidden="1">
      <c r="A241" s="596"/>
      <c r="B241" s="363" t="s">
        <v>633</v>
      </c>
      <c r="C241" s="340"/>
      <c r="D241" s="340"/>
      <c r="E241" s="597">
        <f>E231+E232+E233+E234+E235</f>
        <v>15</v>
      </c>
      <c r="F241" s="597"/>
      <c r="G241" s="597"/>
      <c r="H241" s="597"/>
      <c r="I241" s="597">
        <v>1697.8000000000002</v>
      </c>
      <c r="J241" s="597"/>
      <c r="K241" s="597">
        <f>K231</f>
        <v>5690.4</v>
      </c>
      <c r="L241" s="597"/>
      <c r="M241" s="597">
        <v>848.90000000000009</v>
      </c>
      <c r="N241" s="597"/>
      <c r="O241" s="597">
        <f>O231+O232+O233+O234+O235</f>
        <v>148294.5</v>
      </c>
      <c r="P241" s="598">
        <v>1196416.8</v>
      </c>
    </row>
    <row r="242" spans="1:16" s="522" customFormat="1" ht="15" hidden="1">
      <c r="A242" s="596"/>
      <c r="B242" s="363" t="s">
        <v>634</v>
      </c>
      <c r="C242" s="340"/>
      <c r="D242" s="340"/>
      <c r="E242" s="597">
        <f>E237</f>
        <v>4</v>
      </c>
      <c r="F242" s="597"/>
      <c r="G242" s="597"/>
      <c r="H242" s="597"/>
      <c r="I242" s="597"/>
      <c r="J242" s="597"/>
      <c r="K242" s="597"/>
      <c r="L242" s="597"/>
      <c r="M242" s="597">
        <v>716.30000000000007</v>
      </c>
      <c r="N242" s="597"/>
      <c r="O242" s="597">
        <f>O237</f>
        <v>31517.200000000001</v>
      </c>
      <c r="P242" s="598">
        <v>189103.2</v>
      </c>
    </row>
    <row r="243" spans="1:16" s="522" customFormat="1" ht="15.75" hidden="1" thickBot="1">
      <c r="A243" s="599"/>
      <c r="B243" s="388" t="s">
        <v>635</v>
      </c>
      <c r="C243" s="387"/>
      <c r="D243" s="387"/>
      <c r="E243" s="600">
        <f>E238+E236</f>
        <v>3</v>
      </c>
      <c r="F243" s="600"/>
      <c r="G243" s="600"/>
      <c r="H243" s="600"/>
      <c r="I243" s="600"/>
      <c r="J243" s="600"/>
      <c r="K243" s="600"/>
      <c r="L243" s="600"/>
      <c r="M243" s="600"/>
      <c r="N243" s="600"/>
      <c r="O243" s="600">
        <f>O238+O236</f>
        <v>23478</v>
      </c>
      <c r="P243" s="601">
        <v>93912</v>
      </c>
    </row>
    <row r="244" spans="1:16" ht="15.75" thickBot="1">
      <c r="A244" s="857" t="s">
        <v>684</v>
      </c>
      <c r="B244" s="858"/>
      <c r="C244" s="858"/>
      <c r="D244" s="858"/>
      <c r="E244" s="858"/>
      <c r="F244" s="858"/>
      <c r="G244" s="858"/>
      <c r="H244" s="858"/>
      <c r="I244" s="858"/>
      <c r="J244" s="858"/>
      <c r="K244" s="858"/>
      <c r="L244" s="858"/>
      <c r="M244" s="858"/>
      <c r="N244" s="858"/>
      <c r="O244" s="858"/>
      <c r="P244" s="859"/>
    </row>
    <row r="245" spans="1:16">
      <c r="A245" s="349">
        <v>1</v>
      </c>
      <c r="B245" s="314" t="s">
        <v>505</v>
      </c>
      <c r="C245" s="315"/>
      <c r="D245" s="315" t="s">
        <v>629</v>
      </c>
      <c r="E245" s="316">
        <v>1</v>
      </c>
      <c r="F245" s="503">
        <v>1.91</v>
      </c>
      <c r="G245" s="409">
        <v>12415</v>
      </c>
      <c r="H245" s="409"/>
      <c r="I245" s="409"/>
      <c r="J245" s="444" t="s">
        <v>667</v>
      </c>
      <c r="K245" s="409">
        <v>5586.75</v>
      </c>
      <c r="L245" s="409"/>
      <c r="M245" s="316"/>
      <c r="N245" s="337">
        <f>G245+K245</f>
        <v>18001.75</v>
      </c>
      <c r="O245" s="316">
        <f>N245*E245</f>
        <v>18001.75</v>
      </c>
      <c r="P245" s="350">
        <v>223470</v>
      </c>
    </row>
    <row r="246" spans="1:16">
      <c r="A246" s="351">
        <v>2</v>
      </c>
      <c r="B246" s="318" t="s">
        <v>672</v>
      </c>
      <c r="C246" s="324" t="s">
        <v>559</v>
      </c>
      <c r="D246" s="324" t="s">
        <v>666</v>
      </c>
      <c r="E246" s="451">
        <v>2</v>
      </c>
      <c r="F246" s="469">
        <v>1.7331000000000001</v>
      </c>
      <c r="G246" s="453">
        <v>11265</v>
      </c>
      <c r="H246" s="407"/>
      <c r="I246" s="407"/>
      <c r="J246" s="428"/>
      <c r="K246" s="407"/>
      <c r="L246" s="407"/>
      <c r="M246" s="317"/>
      <c r="N246" s="337">
        <v>11265</v>
      </c>
      <c r="O246" s="316">
        <f t="shared" ref="O246:O255" si="8">N246*E246</f>
        <v>22530</v>
      </c>
      <c r="P246" s="352">
        <v>270360</v>
      </c>
    </row>
    <row r="247" spans="1:16">
      <c r="A247" s="351">
        <v>3</v>
      </c>
      <c r="B247" s="318" t="s">
        <v>672</v>
      </c>
      <c r="C247" s="320" t="s">
        <v>673</v>
      </c>
      <c r="D247" s="324" t="s">
        <v>666</v>
      </c>
      <c r="E247" s="451">
        <f>2.5-1</f>
        <v>1.5</v>
      </c>
      <c r="F247" s="469">
        <v>1.6684000000000001</v>
      </c>
      <c r="G247" s="453">
        <v>10845</v>
      </c>
      <c r="H247" s="407"/>
      <c r="I247" s="407"/>
      <c r="J247" s="428"/>
      <c r="K247" s="407"/>
      <c r="L247" s="407"/>
      <c r="M247" s="317"/>
      <c r="N247" s="337">
        <v>10845</v>
      </c>
      <c r="O247" s="316">
        <f>N247*E247</f>
        <v>16267.5</v>
      </c>
      <c r="P247" s="352">
        <v>325350</v>
      </c>
    </row>
    <row r="248" spans="1:16">
      <c r="A248" s="351">
        <v>5</v>
      </c>
      <c r="B248" s="318" t="s">
        <v>672</v>
      </c>
      <c r="C248" s="320"/>
      <c r="D248" s="324" t="s">
        <v>666</v>
      </c>
      <c r="E248" s="451">
        <v>2</v>
      </c>
      <c r="F248" s="455">
        <v>1.5389999999999999</v>
      </c>
      <c r="G248" s="453">
        <v>10004</v>
      </c>
      <c r="H248" s="407"/>
      <c r="I248" s="407"/>
      <c r="J248" s="428"/>
      <c r="K248" s="407"/>
      <c r="L248" s="407"/>
      <c r="M248" s="317"/>
      <c r="N248" s="337">
        <v>10004</v>
      </c>
      <c r="O248" s="316">
        <f t="shared" si="8"/>
        <v>20008</v>
      </c>
      <c r="P248" s="352">
        <v>240096</v>
      </c>
    </row>
    <row r="249" spans="1:16">
      <c r="A249" s="351">
        <v>6</v>
      </c>
      <c r="B249" s="318" t="s">
        <v>680</v>
      </c>
      <c r="C249" s="320" t="s">
        <v>559</v>
      </c>
      <c r="D249" s="324" t="s">
        <v>666</v>
      </c>
      <c r="E249" s="451">
        <v>1</v>
      </c>
      <c r="F249" s="469">
        <v>1.7331000000000001</v>
      </c>
      <c r="G249" s="453">
        <v>11265</v>
      </c>
      <c r="H249" s="407"/>
      <c r="I249" s="407"/>
      <c r="J249" s="428"/>
      <c r="K249" s="407"/>
      <c r="L249" s="407"/>
      <c r="M249" s="317"/>
      <c r="N249" s="337">
        <v>11265</v>
      </c>
      <c r="O249" s="316">
        <f t="shared" si="8"/>
        <v>11265</v>
      </c>
      <c r="P249" s="352">
        <v>135180</v>
      </c>
    </row>
    <row r="250" spans="1:16">
      <c r="A250" s="351">
        <v>7</v>
      </c>
      <c r="B250" s="318" t="s">
        <v>685</v>
      </c>
      <c r="C250" s="320"/>
      <c r="D250" s="324" t="s">
        <v>666</v>
      </c>
      <c r="E250" s="451">
        <v>1</v>
      </c>
      <c r="F250" s="455">
        <v>1.5389999999999999</v>
      </c>
      <c r="G250" s="453">
        <v>10004</v>
      </c>
      <c r="H250" s="407"/>
      <c r="I250" s="407"/>
      <c r="J250" s="428"/>
      <c r="K250" s="407"/>
      <c r="L250" s="407"/>
      <c r="M250" s="317"/>
      <c r="N250" s="337">
        <v>10004</v>
      </c>
      <c r="O250" s="316">
        <f t="shared" si="8"/>
        <v>10004</v>
      </c>
      <c r="P250" s="352">
        <v>120048</v>
      </c>
    </row>
    <row r="251" spans="1:16">
      <c r="A251" s="351">
        <f>A250+1</f>
        <v>8</v>
      </c>
      <c r="B251" s="318" t="s">
        <v>661</v>
      </c>
      <c r="C251" s="323"/>
      <c r="D251" s="324">
        <v>3231</v>
      </c>
      <c r="E251" s="451">
        <v>1</v>
      </c>
      <c r="F251" s="455">
        <v>1.4590000000000001</v>
      </c>
      <c r="G251" s="453">
        <v>9484</v>
      </c>
      <c r="H251" s="407"/>
      <c r="I251" s="407"/>
      <c r="J251" s="428" t="s">
        <v>678</v>
      </c>
      <c r="K251" s="407">
        <v>4742</v>
      </c>
      <c r="L251" s="407"/>
      <c r="M251" s="317"/>
      <c r="N251" s="337">
        <v>14226</v>
      </c>
      <c r="O251" s="316">
        <f t="shared" si="8"/>
        <v>14226</v>
      </c>
      <c r="P251" s="352">
        <v>170712</v>
      </c>
    </row>
    <row r="252" spans="1:16">
      <c r="A252" s="351">
        <f>A251+1</f>
        <v>9</v>
      </c>
      <c r="B252" s="318" t="s">
        <v>676</v>
      </c>
      <c r="C252" s="324" t="s">
        <v>559</v>
      </c>
      <c r="D252" s="324">
        <v>3231</v>
      </c>
      <c r="E252" s="451">
        <f>7-1</f>
        <v>6</v>
      </c>
      <c r="F252" s="455">
        <v>1.4590000000000001</v>
      </c>
      <c r="G252" s="453">
        <v>9484</v>
      </c>
      <c r="H252" s="407"/>
      <c r="I252" s="407"/>
      <c r="J252" s="428"/>
      <c r="K252" s="407"/>
      <c r="L252" s="407"/>
      <c r="M252" s="317"/>
      <c r="N252" s="337">
        <v>9484</v>
      </c>
      <c r="O252" s="316">
        <f>N252*E252</f>
        <v>56904</v>
      </c>
      <c r="P252" s="352">
        <v>910464</v>
      </c>
    </row>
    <row r="253" spans="1:16">
      <c r="A253" s="351">
        <f>A252+1</f>
        <v>10</v>
      </c>
      <c r="B253" s="318" t="s">
        <v>676</v>
      </c>
      <c r="C253" s="324"/>
      <c r="D253" s="324">
        <v>3231</v>
      </c>
      <c r="E253" s="451">
        <f>2-1</f>
        <v>1</v>
      </c>
      <c r="F253" s="455">
        <v>1.306</v>
      </c>
      <c r="G253" s="453">
        <v>8489</v>
      </c>
      <c r="H253" s="407"/>
      <c r="I253" s="407"/>
      <c r="J253" s="428"/>
      <c r="K253" s="407"/>
      <c r="L253" s="407"/>
      <c r="M253" s="317"/>
      <c r="N253" s="337">
        <v>8489</v>
      </c>
      <c r="O253" s="316">
        <f t="shared" si="8"/>
        <v>8489</v>
      </c>
      <c r="P253" s="352">
        <v>101868</v>
      </c>
    </row>
    <row r="254" spans="1:16">
      <c r="A254" s="351">
        <f>A253+1</f>
        <v>11</v>
      </c>
      <c r="B254" s="318" t="s">
        <v>508</v>
      </c>
      <c r="C254" s="320"/>
      <c r="D254" s="324">
        <v>4222</v>
      </c>
      <c r="E254" s="451">
        <v>2</v>
      </c>
      <c r="F254" s="455">
        <v>1.204</v>
      </c>
      <c r="G254" s="453">
        <v>7826</v>
      </c>
      <c r="H254" s="407"/>
      <c r="I254" s="407"/>
      <c r="J254" s="428"/>
      <c r="K254" s="407"/>
      <c r="L254" s="407"/>
      <c r="M254" s="317"/>
      <c r="N254" s="337">
        <v>7826</v>
      </c>
      <c r="O254" s="316">
        <f t="shared" si="8"/>
        <v>15652</v>
      </c>
      <c r="P254" s="352">
        <v>187824</v>
      </c>
    </row>
    <row r="255" spans="1:16" ht="13.5" thickBot="1">
      <c r="A255" s="351">
        <f>A254+1</f>
        <v>12</v>
      </c>
      <c r="B255" s="341" t="s">
        <v>647</v>
      </c>
      <c r="C255" s="342"/>
      <c r="D255" s="342">
        <v>5132</v>
      </c>
      <c r="E255" s="343">
        <v>2</v>
      </c>
      <c r="F255" s="503">
        <v>1.1020000000000001</v>
      </c>
      <c r="G255" s="317">
        <v>7163</v>
      </c>
      <c r="H255" s="343"/>
      <c r="I255" s="343"/>
      <c r="J255" s="429"/>
      <c r="K255" s="343"/>
      <c r="L255" s="424" t="s">
        <v>648</v>
      </c>
      <c r="M255" s="343">
        <v>716.30000000000007</v>
      </c>
      <c r="N255" s="337">
        <v>7879.3</v>
      </c>
      <c r="O255" s="316">
        <f t="shared" si="8"/>
        <v>15758.6</v>
      </c>
      <c r="P255" s="353">
        <v>189103.2</v>
      </c>
    </row>
    <row r="256" spans="1:16" ht="15.75" thickBot="1">
      <c r="A256" s="850" t="s">
        <v>637</v>
      </c>
      <c r="B256" s="851"/>
      <c r="C256" s="851"/>
      <c r="D256" s="852"/>
      <c r="E256" s="347">
        <f>SUM(E245:E255)</f>
        <v>20.5</v>
      </c>
      <c r="F256" s="347"/>
      <c r="G256" s="348"/>
      <c r="H256" s="348"/>
      <c r="I256" s="348"/>
      <c r="J256" s="348"/>
      <c r="K256" s="348"/>
      <c r="L256" s="348"/>
      <c r="M256" s="348"/>
      <c r="N256" s="348"/>
      <c r="O256" s="403">
        <f>SUM(O245:O255)</f>
        <v>209105.85</v>
      </c>
      <c r="P256" s="404">
        <v>3113371.2</v>
      </c>
    </row>
    <row r="257" spans="1:16" ht="15" hidden="1">
      <c r="A257" s="354"/>
      <c r="B257" s="362" t="s">
        <v>632</v>
      </c>
      <c r="C257" s="344"/>
      <c r="D257" s="344"/>
      <c r="E257" s="345" t="e">
        <f>E245+E246+E247+#REF!+E248+E249+E250</f>
        <v>#REF!</v>
      </c>
      <c r="F257" s="345"/>
      <c r="G257" s="345"/>
      <c r="H257" s="345"/>
      <c r="I257" s="345"/>
      <c r="J257" s="345"/>
      <c r="K257" s="345"/>
      <c r="L257" s="345"/>
      <c r="M257" s="345"/>
      <c r="N257" s="345"/>
      <c r="O257" s="345" t="e">
        <f>O245+O246+O247+#REF!+O248+O249+O250</f>
        <v>#REF!</v>
      </c>
      <c r="P257" s="355">
        <v>1439592</v>
      </c>
    </row>
    <row r="258" spans="1:16" ht="15" hidden="1">
      <c r="A258" s="356"/>
      <c r="B258" s="363" t="s">
        <v>633</v>
      </c>
      <c r="C258" s="340"/>
      <c r="D258" s="340"/>
      <c r="E258" s="338">
        <f>E251+E252+E253</f>
        <v>8</v>
      </c>
      <c r="F258" s="338"/>
      <c r="G258" s="338"/>
      <c r="H258" s="338"/>
      <c r="I258" s="338"/>
      <c r="J258" s="338"/>
      <c r="K258" s="338"/>
      <c r="L258" s="338"/>
      <c r="M258" s="338"/>
      <c r="N258" s="338"/>
      <c r="O258" s="338">
        <f>O251+O252+O253</f>
        <v>79619</v>
      </c>
      <c r="P258" s="357">
        <v>1183044</v>
      </c>
    </row>
    <row r="259" spans="1:16" ht="15" hidden="1">
      <c r="A259" s="356"/>
      <c r="B259" s="363" t="s">
        <v>634</v>
      </c>
      <c r="C259" s="340"/>
      <c r="D259" s="340"/>
      <c r="E259" s="338">
        <v>2</v>
      </c>
      <c r="F259" s="338"/>
      <c r="G259" s="338"/>
      <c r="H259" s="338"/>
      <c r="I259" s="338"/>
      <c r="J259" s="338"/>
      <c r="K259" s="338"/>
      <c r="L259" s="338"/>
      <c r="M259" s="338"/>
      <c r="N259" s="338"/>
      <c r="O259" s="338">
        <f>O255</f>
        <v>15758.6</v>
      </c>
      <c r="P259" s="357">
        <v>189103.2</v>
      </c>
    </row>
    <row r="260" spans="1:16" ht="15.75" hidden="1" thickBot="1">
      <c r="A260" s="401"/>
      <c r="B260" s="388" t="s">
        <v>635</v>
      </c>
      <c r="C260" s="387"/>
      <c r="D260" s="387"/>
      <c r="E260" s="389">
        <f>E254</f>
        <v>2</v>
      </c>
      <c r="F260" s="389"/>
      <c r="G260" s="389"/>
      <c r="H260" s="389"/>
      <c r="I260" s="389"/>
      <c r="J260" s="389"/>
      <c r="K260" s="389"/>
      <c r="L260" s="389"/>
      <c r="M260" s="389"/>
      <c r="N260" s="389"/>
      <c r="O260" s="389">
        <v>15652</v>
      </c>
      <c r="P260" s="402">
        <v>187824</v>
      </c>
    </row>
    <row r="261" spans="1:16" ht="15.75" thickBot="1">
      <c r="A261" s="853" t="s">
        <v>686</v>
      </c>
      <c r="B261" s="854"/>
      <c r="C261" s="854"/>
      <c r="D261" s="854"/>
      <c r="E261" s="854"/>
      <c r="F261" s="854"/>
      <c r="G261" s="854"/>
      <c r="H261" s="854"/>
      <c r="I261" s="854"/>
      <c r="J261" s="854"/>
      <c r="K261" s="854"/>
      <c r="L261" s="854"/>
      <c r="M261" s="854"/>
      <c r="N261" s="854"/>
      <c r="O261" s="854"/>
      <c r="P261" s="855"/>
    </row>
    <row r="262" spans="1:16">
      <c r="A262" s="349">
        <v>1</v>
      </c>
      <c r="B262" s="314" t="s">
        <v>505</v>
      </c>
      <c r="C262" s="315"/>
      <c r="D262" s="315" t="s">
        <v>629</v>
      </c>
      <c r="E262" s="316">
        <v>1</v>
      </c>
      <c r="F262" s="503">
        <v>1.91</v>
      </c>
      <c r="G262" s="409">
        <v>12415</v>
      </c>
      <c r="H262" s="409"/>
      <c r="I262" s="409"/>
      <c r="J262" s="444" t="s">
        <v>667</v>
      </c>
      <c r="K262" s="409">
        <f>G262*J262</f>
        <v>5586.75</v>
      </c>
      <c r="L262" s="409"/>
      <c r="M262" s="316"/>
      <c r="N262" s="337">
        <f>G262+K262</f>
        <v>18001.75</v>
      </c>
      <c r="O262" s="316">
        <f>N262*E262</f>
        <v>18001.75</v>
      </c>
      <c r="P262" s="350">
        <v>216021</v>
      </c>
    </row>
    <row r="263" spans="1:16">
      <c r="A263" s="351">
        <v>2</v>
      </c>
      <c r="B263" s="318" t="s">
        <v>672</v>
      </c>
      <c r="C263" s="324" t="s">
        <v>559</v>
      </c>
      <c r="D263" s="324" t="s">
        <v>666</v>
      </c>
      <c r="E263" s="451">
        <v>2.5</v>
      </c>
      <c r="F263" s="469">
        <v>1.7331000000000001</v>
      </c>
      <c r="G263" s="453">
        <v>11265</v>
      </c>
      <c r="H263" s="407"/>
      <c r="I263" s="407"/>
      <c r="J263" s="428"/>
      <c r="K263" s="407"/>
      <c r="L263" s="407"/>
      <c r="M263" s="317"/>
      <c r="N263" s="337">
        <v>11265</v>
      </c>
      <c r="O263" s="316">
        <f t="shared" ref="O263:O275" si="9">N263*E263</f>
        <v>28162.5</v>
      </c>
      <c r="P263" s="352">
        <v>337950</v>
      </c>
    </row>
    <row r="264" spans="1:16">
      <c r="A264" s="351">
        <v>3</v>
      </c>
      <c r="B264" s="318" t="s">
        <v>672</v>
      </c>
      <c r="C264" s="320" t="s">
        <v>673</v>
      </c>
      <c r="D264" s="324" t="s">
        <v>666</v>
      </c>
      <c r="E264" s="451">
        <v>1</v>
      </c>
      <c r="F264" s="469">
        <v>1.6684000000000001</v>
      </c>
      <c r="G264" s="453">
        <v>10845</v>
      </c>
      <c r="H264" s="407"/>
      <c r="I264" s="407"/>
      <c r="J264" s="428"/>
      <c r="K264" s="407"/>
      <c r="L264" s="407"/>
      <c r="M264" s="317"/>
      <c r="N264" s="337">
        <v>10845</v>
      </c>
      <c r="O264" s="316">
        <f t="shared" si="9"/>
        <v>10845</v>
      </c>
      <c r="P264" s="352">
        <v>130140</v>
      </c>
    </row>
    <row r="265" spans="1:16">
      <c r="A265" s="351">
        <v>4</v>
      </c>
      <c r="B265" s="318" t="s">
        <v>672</v>
      </c>
      <c r="C265" s="320"/>
      <c r="D265" s="324" t="s">
        <v>666</v>
      </c>
      <c r="E265" s="451">
        <f>3-1-1</f>
        <v>1</v>
      </c>
      <c r="F265" s="469">
        <v>1.5389999999999999</v>
      </c>
      <c r="G265" s="453">
        <v>10004</v>
      </c>
      <c r="H265" s="407"/>
      <c r="I265" s="407"/>
      <c r="J265" s="428"/>
      <c r="K265" s="407"/>
      <c r="L265" s="407"/>
      <c r="M265" s="317"/>
      <c r="N265" s="337">
        <v>10004</v>
      </c>
      <c r="O265" s="316">
        <f t="shared" si="9"/>
        <v>10004</v>
      </c>
      <c r="P265" s="352">
        <v>240096</v>
      </c>
    </row>
    <row r="266" spans="1:16">
      <c r="A266" s="349">
        <v>5</v>
      </c>
      <c r="B266" s="318" t="s">
        <v>569</v>
      </c>
      <c r="C266" s="320" t="s">
        <v>556</v>
      </c>
      <c r="D266" s="324" t="s">
        <v>666</v>
      </c>
      <c r="E266" s="451">
        <v>1</v>
      </c>
      <c r="F266" s="469">
        <v>1.5389999999999999</v>
      </c>
      <c r="G266" s="453">
        <v>10004</v>
      </c>
      <c r="H266" s="407"/>
      <c r="I266" s="407"/>
      <c r="J266" s="428"/>
      <c r="K266" s="407"/>
      <c r="L266" s="407"/>
      <c r="M266" s="317"/>
      <c r="N266" s="337">
        <v>10004</v>
      </c>
      <c r="O266" s="316">
        <f t="shared" si="9"/>
        <v>10004</v>
      </c>
      <c r="P266" s="352"/>
    </row>
    <row r="267" spans="1:16">
      <c r="A267" s="351">
        <v>6</v>
      </c>
      <c r="B267" s="318" t="s">
        <v>685</v>
      </c>
      <c r="C267" s="320" t="s">
        <v>560</v>
      </c>
      <c r="D267" s="324" t="s">
        <v>666</v>
      </c>
      <c r="E267" s="451">
        <v>1</v>
      </c>
      <c r="F267" s="469">
        <v>1.6036999999999999</v>
      </c>
      <c r="G267" s="453">
        <v>10424</v>
      </c>
      <c r="H267" s="407"/>
      <c r="I267" s="407"/>
      <c r="J267" s="428"/>
      <c r="K267" s="407"/>
      <c r="L267" s="407"/>
      <c r="M267" s="317"/>
      <c r="N267" s="337">
        <v>10424</v>
      </c>
      <c r="O267" s="316">
        <f t="shared" si="9"/>
        <v>10424</v>
      </c>
      <c r="P267" s="352">
        <v>125088</v>
      </c>
    </row>
    <row r="268" spans="1:16">
      <c r="A268" s="351">
        <v>7</v>
      </c>
      <c r="B268" s="318" t="s">
        <v>685</v>
      </c>
      <c r="C268" s="320"/>
      <c r="D268" s="324" t="s">
        <v>666</v>
      </c>
      <c r="E268" s="451">
        <v>1</v>
      </c>
      <c r="F268" s="455">
        <v>1.5389999999999999</v>
      </c>
      <c r="G268" s="453">
        <v>10004</v>
      </c>
      <c r="H268" s="407"/>
      <c r="I268" s="407"/>
      <c r="J268" s="428"/>
      <c r="K268" s="407"/>
      <c r="L268" s="407"/>
      <c r="M268" s="317"/>
      <c r="N268" s="337">
        <v>10004</v>
      </c>
      <c r="O268" s="316">
        <f t="shared" si="9"/>
        <v>10004</v>
      </c>
      <c r="P268" s="352">
        <v>120048</v>
      </c>
    </row>
    <row r="269" spans="1:16">
      <c r="A269" s="351">
        <v>8</v>
      </c>
      <c r="B269" s="318" t="s">
        <v>418</v>
      </c>
      <c r="C269" s="324"/>
      <c r="D269" s="324">
        <v>3229</v>
      </c>
      <c r="E269" s="451">
        <v>1</v>
      </c>
      <c r="F269" s="455">
        <v>1.4590000000000001</v>
      </c>
      <c r="G269" s="453">
        <v>9484</v>
      </c>
      <c r="H269" s="407"/>
      <c r="I269" s="407"/>
      <c r="J269" s="428"/>
      <c r="K269" s="407"/>
      <c r="L269" s="407"/>
      <c r="M269" s="317"/>
      <c r="N269" s="337">
        <v>9484</v>
      </c>
      <c r="O269" s="316">
        <f t="shared" si="9"/>
        <v>9484</v>
      </c>
      <c r="P269" s="352">
        <v>113808</v>
      </c>
    </row>
    <row r="270" spans="1:16">
      <c r="A270" s="349">
        <v>9</v>
      </c>
      <c r="B270" s="318" t="s">
        <v>558</v>
      </c>
      <c r="C270" s="324"/>
      <c r="D270" s="324">
        <v>3231</v>
      </c>
      <c r="E270" s="451">
        <v>1</v>
      </c>
      <c r="F270" s="455">
        <v>1.4590000000000001</v>
      </c>
      <c r="G270" s="453">
        <v>9484</v>
      </c>
      <c r="H270" s="407"/>
      <c r="I270" s="407"/>
      <c r="J270" s="428" t="s">
        <v>678</v>
      </c>
      <c r="K270" s="407">
        <v>4742</v>
      </c>
      <c r="L270" s="407"/>
      <c r="M270" s="317"/>
      <c r="N270" s="337">
        <v>14226</v>
      </c>
      <c r="O270" s="316">
        <f t="shared" si="9"/>
        <v>14226</v>
      </c>
      <c r="P270" s="352">
        <v>170712</v>
      </c>
    </row>
    <row r="271" spans="1:16">
      <c r="A271" s="351">
        <v>10</v>
      </c>
      <c r="B271" s="318" t="s">
        <v>676</v>
      </c>
      <c r="C271" s="324" t="s">
        <v>559</v>
      </c>
      <c r="D271" s="324">
        <v>3231</v>
      </c>
      <c r="E271" s="451">
        <f>5-1+1</f>
        <v>5</v>
      </c>
      <c r="F271" s="455">
        <v>1.4590000000000001</v>
      </c>
      <c r="G271" s="453">
        <v>9484</v>
      </c>
      <c r="H271" s="407"/>
      <c r="I271" s="407"/>
      <c r="J271" s="428"/>
      <c r="K271" s="407"/>
      <c r="L271" s="407"/>
      <c r="M271" s="317"/>
      <c r="N271" s="337">
        <v>9484</v>
      </c>
      <c r="O271" s="316">
        <f>N271*E271</f>
        <v>47420</v>
      </c>
      <c r="P271" s="352">
        <v>569040</v>
      </c>
    </row>
    <row r="272" spans="1:16">
      <c r="A272" s="351">
        <v>11</v>
      </c>
      <c r="B272" s="318" t="s">
        <v>676</v>
      </c>
      <c r="C272" s="320" t="s">
        <v>673</v>
      </c>
      <c r="D272" s="324">
        <v>3231</v>
      </c>
      <c r="E272" s="451">
        <f>3-1-1</f>
        <v>1</v>
      </c>
      <c r="F272" s="455">
        <v>1.4079999999999999</v>
      </c>
      <c r="G272" s="453">
        <v>9152</v>
      </c>
      <c r="H272" s="407"/>
      <c r="I272" s="407"/>
      <c r="J272" s="428"/>
      <c r="K272" s="407"/>
      <c r="L272" s="407"/>
      <c r="M272" s="317"/>
      <c r="N272" s="337">
        <v>9152</v>
      </c>
      <c r="O272" s="316">
        <f t="shared" si="9"/>
        <v>9152</v>
      </c>
      <c r="P272" s="352">
        <v>329472</v>
      </c>
    </row>
    <row r="273" spans="1:16">
      <c r="A273" s="349">
        <v>13</v>
      </c>
      <c r="B273" s="318" t="s">
        <v>417</v>
      </c>
      <c r="C273" s="320"/>
      <c r="D273" s="324">
        <v>3231</v>
      </c>
      <c r="E273" s="451">
        <v>1</v>
      </c>
      <c r="F273" s="455">
        <v>1.2549999999999999</v>
      </c>
      <c r="G273" s="453">
        <v>8158</v>
      </c>
      <c r="H273" s="407"/>
      <c r="I273" s="407"/>
      <c r="J273" s="428"/>
      <c r="K273" s="407"/>
      <c r="L273" s="407"/>
      <c r="M273" s="317"/>
      <c r="N273" s="337">
        <v>8158</v>
      </c>
      <c r="O273" s="316">
        <f t="shared" si="9"/>
        <v>8158</v>
      </c>
      <c r="P273" s="352">
        <v>97896</v>
      </c>
    </row>
    <row r="274" spans="1:16">
      <c r="A274" s="351">
        <v>14</v>
      </c>
      <c r="B274" s="341" t="s">
        <v>508</v>
      </c>
      <c r="C274" s="373"/>
      <c r="D274" s="342">
        <v>4222</v>
      </c>
      <c r="E274" s="452">
        <v>2</v>
      </c>
      <c r="F274" s="455">
        <v>1.204</v>
      </c>
      <c r="G274" s="470">
        <v>7826</v>
      </c>
      <c r="H274" s="343"/>
      <c r="I274" s="343"/>
      <c r="J274" s="429"/>
      <c r="K274" s="343"/>
      <c r="L274" s="343"/>
      <c r="M274" s="343"/>
      <c r="N274" s="337">
        <v>7826</v>
      </c>
      <c r="O274" s="316">
        <f t="shared" si="9"/>
        <v>15652</v>
      </c>
      <c r="P274" s="353">
        <v>187824</v>
      </c>
    </row>
    <row r="275" spans="1:16" ht="13.5" thickBot="1">
      <c r="A275" s="351">
        <v>15</v>
      </c>
      <c r="B275" s="464" t="s">
        <v>647</v>
      </c>
      <c r="C275" s="463"/>
      <c r="D275" s="465">
        <v>5132</v>
      </c>
      <c r="E275" s="471">
        <v>2</v>
      </c>
      <c r="F275" s="472">
        <v>1.1020000000000001</v>
      </c>
      <c r="G275" s="473">
        <v>7163</v>
      </c>
      <c r="H275" s="466"/>
      <c r="I275" s="466"/>
      <c r="J275" s="474"/>
      <c r="K275" s="466"/>
      <c r="L275" s="474" t="s">
        <v>648</v>
      </c>
      <c r="M275" s="466">
        <v>716.30000000000007</v>
      </c>
      <c r="N275" s="337">
        <v>7879.3</v>
      </c>
      <c r="O275" s="316">
        <f t="shared" si="9"/>
        <v>15758.6</v>
      </c>
      <c r="P275" s="410">
        <v>189103.2</v>
      </c>
    </row>
    <row r="276" spans="1:16" ht="15.75" thickBot="1">
      <c r="A276" s="865" t="s">
        <v>637</v>
      </c>
      <c r="B276" s="866"/>
      <c r="C276" s="866"/>
      <c r="D276" s="867"/>
      <c r="E276" s="425">
        <f>SUM(E262:E275)</f>
        <v>21.5</v>
      </c>
      <c r="F276" s="425"/>
      <c r="G276" s="425"/>
      <c r="H276" s="425"/>
      <c r="I276" s="425"/>
      <c r="J276" s="425"/>
      <c r="K276" s="425"/>
      <c r="L276" s="425"/>
      <c r="M276" s="425"/>
      <c r="N276" s="425"/>
      <c r="O276" s="426">
        <f>SUM(O262:O275)</f>
        <v>217295.85</v>
      </c>
      <c r="P276" s="427">
        <v>2933050.2</v>
      </c>
    </row>
    <row r="277" spans="1:16" ht="15" hidden="1">
      <c r="A277" s="354"/>
      <c r="B277" s="362" t="s">
        <v>632</v>
      </c>
      <c r="C277" s="344"/>
      <c r="D277" s="344"/>
      <c r="E277" s="345">
        <f>E262+E263+E264+E265+E266+E267+E268+E269</f>
        <v>9.5</v>
      </c>
      <c r="F277" s="345"/>
      <c r="G277" s="345"/>
      <c r="H277" s="345"/>
      <c r="I277" s="345"/>
      <c r="J277" s="345"/>
      <c r="K277" s="345">
        <v>5586.75</v>
      </c>
      <c r="L277" s="345"/>
      <c r="M277" s="345"/>
      <c r="N277" s="345"/>
      <c r="O277" s="345">
        <f>O262+O263+O264+O265+O266+O267+O268+O269</f>
        <v>106929.25</v>
      </c>
      <c r="P277" s="355">
        <v>1283151</v>
      </c>
    </row>
    <row r="278" spans="1:16" ht="15" hidden="1">
      <c r="A278" s="356"/>
      <c r="B278" s="363" t="s">
        <v>633</v>
      </c>
      <c r="C278" s="340"/>
      <c r="D278" s="340"/>
      <c r="E278" s="338">
        <f>E270+E271+E272+E273</f>
        <v>8</v>
      </c>
      <c r="F278" s="338"/>
      <c r="G278" s="338"/>
      <c r="H278" s="338"/>
      <c r="I278" s="338"/>
      <c r="J278" s="338"/>
      <c r="K278" s="338">
        <v>4742</v>
      </c>
      <c r="L278" s="338"/>
      <c r="M278" s="338"/>
      <c r="N278" s="338"/>
      <c r="O278" s="338">
        <f>O270+O271+O272+O273</f>
        <v>78956</v>
      </c>
      <c r="P278" s="357">
        <v>1272972</v>
      </c>
    </row>
    <row r="279" spans="1:16" ht="15" hidden="1">
      <c r="A279" s="356"/>
      <c r="B279" s="363" t="s">
        <v>634</v>
      </c>
      <c r="C279" s="340"/>
      <c r="D279" s="340"/>
      <c r="E279" s="338">
        <v>2</v>
      </c>
      <c r="F279" s="338"/>
      <c r="G279" s="338"/>
      <c r="H279" s="338"/>
      <c r="I279" s="338"/>
      <c r="J279" s="338"/>
      <c r="K279" s="338"/>
      <c r="L279" s="338"/>
      <c r="M279" s="338">
        <f>M275*E275</f>
        <v>1432.6000000000001</v>
      </c>
      <c r="N279" s="338"/>
      <c r="O279" s="338">
        <v>15758.6</v>
      </c>
      <c r="P279" s="357">
        <v>189103.2</v>
      </c>
    </row>
    <row r="280" spans="1:16" ht="15.75" hidden="1" thickBot="1">
      <c r="A280" s="401"/>
      <c r="B280" s="388" t="s">
        <v>635</v>
      </c>
      <c r="C280" s="387"/>
      <c r="D280" s="387"/>
      <c r="E280" s="389">
        <v>2</v>
      </c>
      <c r="F280" s="389"/>
      <c r="G280" s="389"/>
      <c r="H280" s="389"/>
      <c r="I280" s="389"/>
      <c r="J280" s="389"/>
      <c r="K280" s="389"/>
      <c r="L280" s="389"/>
      <c r="M280" s="389"/>
      <c r="N280" s="389"/>
      <c r="O280" s="389">
        <v>15652</v>
      </c>
      <c r="P280" s="402">
        <v>187824</v>
      </c>
    </row>
    <row r="281" spans="1:16" ht="15.75" thickBot="1">
      <c r="A281" s="853" t="s">
        <v>687</v>
      </c>
      <c r="B281" s="854"/>
      <c r="C281" s="854"/>
      <c r="D281" s="854"/>
      <c r="E281" s="854"/>
      <c r="F281" s="854"/>
      <c r="G281" s="854"/>
      <c r="H281" s="854"/>
      <c r="I281" s="854"/>
      <c r="J281" s="854"/>
      <c r="K281" s="854"/>
      <c r="L281" s="854"/>
      <c r="M281" s="854"/>
      <c r="N281" s="854"/>
      <c r="O281" s="854"/>
      <c r="P281" s="855"/>
    </row>
    <row r="282" spans="1:16">
      <c r="A282" s="349">
        <v>1</v>
      </c>
      <c r="B282" s="314" t="s">
        <v>505</v>
      </c>
      <c r="C282" s="315"/>
      <c r="D282" s="315" t="s">
        <v>629</v>
      </c>
      <c r="E282" s="316">
        <v>1</v>
      </c>
      <c r="F282" s="503">
        <v>1.91</v>
      </c>
      <c r="G282" s="409">
        <v>12415</v>
      </c>
      <c r="H282" s="409"/>
      <c r="I282" s="409"/>
      <c r="J282" s="444" t="s">
        <v>662</v>
      </c>
      <c r="K282" s="409">
        <f>G282*J282</f>
        <v>6828.2500000000009</v>
      </c>
      <c r="L282" s="409"/>
      <c r="M282" s="316"/>
      <c r="N282" s="337">
        <f>K282+G282</f>
        <v>19243.25</v>
      </c>
      <c r="O282" s="316">
        <f>N282*E282</f>
        <v>19243.25</v>
      </c>
      <c r="P282" s="350">
        <v>216021</v>
      </c>
    </row>
    <row r="283" spans="1:16">
      <c r="A283" s="351">
        <v>2</v>
      </c>
      <c r="B283" s="318" t="s">
        <v>672</v>
      </c>
      <c r="C283" s="324" t="s">
        <v>559</v>
      </c>
      <c r="D283" s="324" t="s">
        <v>666</v>
      </c>
      <c r="E283" s="451">
        <f>4.5-1+6.5-1</f>
        <v>9</v>
      </c>
      <c r="F283" s="469">
        <v>1.7331000000000001</v>
      </c>
      <c r="G283" s="453">
        <v>11265</v>
      </c>
      <c r="H283" s="407"/>
      <c r="I283" s="407"/>
      <c r="J283" s="428"/>
      <c r="K283" s="407"/>
      <c r="L283" s="407"/>
      <c r="M283" s="317"/>
      <c r="N283" s="337">
        <v>11265</v>
      </c>
      <c r="O283" s="316">
        <f t="shared" ref="O283:O291" si="10">N283*E283</f>
        <v>101385</v>
      </c>
      <c r="P283" s="352">
        <v>608310</v>
      </c>
    </row>
    <row r="284" spans="1:16">
      <c r="A284" s="351">
        <v>3</v>
      </c>
      <c r="B284" s="318" t="s">
        <v>672</v>
      </c>
      <c r="C284" s="320" t="s">
        <v>673</v>
      </c>
      <c r="D284" s="324" t="s">
        <v>666</v>
      </c>
      <c r="E284" s="451">
        <v>1</v>
      </c>
      <c r="F284" s="469">
        <v>1.6684000000000001</v>
      </c>
      <c r="G284" s="453">
        <v>10845</v>
      </c>
      <c r="H284" s="407"/>
      <c r="I284" s="407"/>
      <c r="J284" s="428"/>
      <c r="K284" s="407"/>
      <c r="L284" s="407"/>
      <c r="M284" s="317"/>
      <c r="N284" s="337">
        <v>10845</v>
      </c>
      <c r="O284" s="316">
        <f t="shared" si="10"/>
        <v>10845</v>
      </c>
      <c r="P284" s="352">
        <v>130140</v>
      </c>
    </row>
    <row r="285" spans="1:16">
      <c r="A285" s="351">
        <v>4</v>
      </c>
      <c r="B285" s="318" t="s">
        <v>672</v>
      </c>
      <c r="C285" s="320"/>
      <c r="D285" s="324" t="s">
        <v>666</v>
      </c>
      <c r="E285" s="451">
        <f>1+1</f>
        <v>2</v>
      </c>
      <c r="F285" s="469">
        <v>1.5389999999999999</v>
      </c>
      <c r="G285" s="453">
        <v>10004</v>
      </c>
      <c r="H285" s="407"/>
      <c r="I285" s="407"/>
      <c r="J285" s="428"/>
      <c r="K285" s="407"/>
      <c r="L285" s="407"/>
      <c r="M285" s="317"/>
      <c r="N285" s="337">
        <f>G285</f>
        <v>10004</v>
      </c>
      <c r="O285" s="316">
        <f t="shared" si="10"/>
        <v>20008</v>
      </c>
      <c r="P285" s="352">
        <v>120048</v>
      </c>
    </row>
    <row r="286" spans="1:16">
      <c r="A286" s="351">
        <v>5</v>
      </c>
      <c r="B286" s="318" t="s">
        <v>418</v>
      </c>
      <c r="C286" s="320"/>
      <c r="D286" s="324">
        <v>3229</v>
      </c>
      <c r="E286" s="451">
        <v>1</v>
      </c>
      <c r="F286" s="455">
        <v>1.4590000000000001</v>
      </c>
      <c r="G286" s="453">
        <v>9484</v>
      </c>
      <c r="H286" s="407"/>
      <c r="I286" s="407"/>
      <c r="J286" s="428"/>
      <c r="K286" s="409"/>
      <c r="L286" s="407"/>
      <c r="M286" s="317"/>
      <c r="N286" s="337">
        <f>G286</f>
        <v>9484</v>
      </c>
      <c r="O286" s="316">
        <f t="shared" si="10"/>
        <v>9484</v>
      </c>
      <c r="P286" s="352"/>
    </row>
    <row r="287" spans="1:16">
      <c r="A287" s="351">
        <v>6</v>
      </c>
      <c r="B287" s="318" t="s">
        <v>558</v>
      </c>
      <c r="C287" s="324"/>
      <c r="D287" s="324">
        <v>3231</v>
      </c>
      <c r="E287" s="451">
        <v>1</v>
      </c>
      <c r="F287" s="455">
        <v>1.4590000000000001</v>
      </c>
      <c r="G287" s="453">
        <v>9484</v>
      </c>
      <c r="H287" s="407"/>
      <c r="I287" s="407"/>
      <c r="J287" s="428" t="s">
        <v>662</v>
      </c>
      <c r="K287" s="409">
        <f>G287*J287</f>
        <v>5216.2000000000007</v>
      </c>
      <c r="L287" s="407"/>
      <c r="M287" s="317"/>
      <c r="N287" s="337">
        <f>K287+G287</f>
        <v>14700.2</v>
      </c>
      <c r="O287" s="316">
        <f t="shared" si="10"/>
        <v>14700.2</v>
      </c>
      <c r="P287" s="352">
        <v>170712</v>
      </c>
    </row>
    <row r="288" spans="1:16">
      <c r="A288" s="349">
        <v>7</v>
      </c>
      <c r="B288" s="318" t="s">
        <v>676</v>
      </c>
      <c r="C288" s="324" t="s">
        <v>559</v>
      </c>
      <c r="D288" s="324">
        <v>3231</v>
      </c>
      <c r="E288" s="451">
        <f>4+6-2</f>
        <v>8</v>
      </c>
      <c r="F288" s="455">
        <v>1.4590000000000001</v>
      </c>
      <c r="G288" s="453">
        <v>9484</v>
      </c>
      <c r="H288" s="407"/>
      <c r="I288" s="407"/>
      <c r="J288" s="428"/>
      <c r="K288" s="407"/>
      <c r="L288" s="407"/>
      <c r="M288" s="317"/>
      <c r="N288" s="337">
        <v>9484</v>
      </c>
      <c r="O288" s="316">
        <f>N288*E288</f>
        <v>75872</v>
      </c>
      <c r="P288" s="352">
        <v>569040</v>
      </c>
    </row>
    <row r="289" spans="1:16">
      <c r="A289" s="351">
        <v>8</v>
      </c>
      <c r="B289" s="318" t="s">
        <v>676</v>
      </c>
      <c r="C289" s="320" t="s">
        <v>673</v>
      </c>
      <c r="D289" s="324">
        <v>3231</v>
      </c>
      <c r="E289" s="451">
        <f>2+1</f>
        <v>3</v>
      </c>
      <c r="F289" s="455">
        <v>1.4079999999999999</v>
      </c>
      <c r="G289" s="453">
        <v>9152</v>
      </c>
      <c r="H289" s="407"/>
      <c r="I289" s="407"/>
      <c r="J289" s="428"/>
      <c r="K289" s="407"/>
      <c r="L289" s="407"/>
      <c r="M289" s="317"/>
      <c r="N289" s="337">
        <v>9152</v>
      </c>
      <c r="O289" s="316">
        <f t="shared" si="10"/>
        <v>27456</v>
      </c>
      <c r="P289" s="352">
        <v>219648</v>
      </c>
    </row>
    <row r="290" spans="1:16" hidden="1">
      <c r="A290" s="351">
        <v>9</v>
      </c>
      <c r="B290" s="318" t="s">
        <v>676</v>
      </c>
      <c r="C290" s="320" t="s">
        <v>560</v>
      </c>
      <c r="D290" s="324">
        <v>3231</v>
      </c>
      <c r="E290" s="451">
        <f>1-1</f>
        <v>0</v>
      </c>
      <c r="F290" s="455">
        <v>1.357</v>
      </c>
      <c r="G290" s="453">
        <v>8821</v>
      </c>
      <c r="H290" s="407"/>
      <c r="I290" s="407"/>
      <c r="J290" s="428"/>
      <c r="K290" s="407"/>
      <c r="L290" s="407"/>
      <c r="M290" s="317"/>
      <c r="N290" s="337">
        <v>8821</v>
      </c>
      <c r="O290" s="316">
        <f t="shared" si="10"/>
        <v>0</v>
      </c>
      <c r="P290" s="352">
        <v>105852</v>
      </c>
    </row>
    <row r="291" spans="1:16">
      <c r="A291" s="416">
        <v>9</v>
      </c>
      <c r="B291" s="318" t="s">
        <v>676</v>
      </c>
      <c r="C291" s="320"/>
      <c r="D291" s="324">
        <v>3231</v>
      </c>
      <c r="E291" s="451">
        <v>1</v>
      </c>
      <c r="F291" s="455">
        <v>1.306</v>
      </c>
      <c r="G291" s="453">
        <v>8489</v>
      </c>
      <c r="H291" s="407"/>
      <c r="I291" s="407"/>
      <c r="J291" s="428"/>
      <c r="K291" s="407"/>
      <c r="L291" s="407"/>
      <c r="M291" s="317"/>
      <c r="N291" s="337">
        <v>8489</v>
      </c>
      <c r="O291" s="316">
        <f t="shared" si="10"/>
        <v>8489</v>
      </c>
      <c r="P291" s="352">
        <v>101868</v>
      </c>
    </row>
    <row r="292" spans="1:16">
      <c r="A292" s="334">
        <v>10</v>
      </c>
      <c r="B292" s="607" t="s">
        <v>508</v>
      </c>
      <c r="C292" s="417"/>
      <c r="D292" s="418">
        <v>4222</v>
      </c>
      <c r="E292" s="475">
        <f>3-1</f>
        <v>2</v>
      </c>
      <c r="F292" s="455">
        <v>1.204</v>
      </c>
      <c r="G292" s="476">
        <v>7826</v>
      </c>
      <c r="H292" s="420"/>
      <c r="I292" s="420"/>
      <c r="J292" s="431"/>
      <c r="K292" s="420"/>
      <c r="L292" s="420"/>
      <c r="M292" s="419"/>
      <c r="N292" s="337">
        <v>7826</v>
      </c>
      <c r="O292" s="316">
        <f>N292*E292</f>
        <v>15652</v>
      </c>
      <c r="P292" s="421">
        <v>187824</v>
      </c>
    </row>
    <row r="293" spans="1:16" hidden="1">
      <c r="A293" s="334"/>
      <c r="B293" s="608"/>
      <c r="C293" s="320"/>
      <c r="D293" s="324"/>
      <c r="E293" s="451"/>
      <c r="F293" s="455"/>
      <c r="G293" s="453"/>
      <c r="H293" s="531"/>
      <c r="I293" s="531"/>
      <c r="J293" s="562"/>
      <c r="K293" s="531"/>
      <c r="L293" s="408"/>
      <c r="M293" s="414"/>
      <c r="N293" s="337"/>
      <c r="O293" s="316"/>
      <c r="P293" s="415"/>
    </row>
    <row r="294" spans="1:16" ht="13.5" thickBot="1">
      <c r="A294" s="334">
        <v>11</v>
      </c>
      <c r="B294" s="609" t="s">
        <v>647</v>
      </c>
      <c r="C294" s="412"/>
      <c r="D294" s="413">
        <v>5132</v>
      </c>
      <c r="E294" s="414">
        <f>1+2</f>
        <v>3</v>
      </c>
      <c r="F294" s="503">
        <v>1.1020000000000001</v>
      </c>
      <c r="G294" s="316">
        <v>7163</v>
      </c>
      <c r="H294" s="414"/>
      <c r="I294" s="414"/>
      <c r="J294" s="432"/>
      <c r="K294" s="414"/>
      <c r="L294" s="424" t="s">
        <v>648</v>
      </c>
      <c r="M294" s="414">
        <v>716.30000000000007</v>
      </c>
      <c r="N294" s="337">
        <v>7879.3</v>
      </c>
      <c r="O294" s="316">
        <f>N294*E294</f>
        <v>23637.9</v>
      </c>
      <c r="P294" s="415">
        <v>94551.6</v>
      </c>
    </row>
    <row r="295" spans="1:16" ht="15.75" thickBot="1">
      <c r="A295" s="865" t="s">
        <v>637</v>
      </c>
      <c r="B295" s="851"/>
      <c r="C295" s="851"/>
      <c r="D295" s="852"/>
      <c r="E295" s="347">
        <f>SUM(E282:E294)</f>
        <v>32</v>
      </c>
      <c r="F295" s="347"/>
      <c r="G295" s="348"/>
      <c r="H295" s="348"/>
      <c r="I295" s="348"/>
      <c r="J295" s="348"/>
      <c r="K295" s="348"/>
      <c r="L295" s="348"/>
      <c r="M295" s="348"/>
      <c r="N295" s="348"/>
      <c r="O295" s="403">
        <f>SUM(O282:O294)</f>
        <v>326772.35000000003</v>
      </c>
      <c r="P295" s="404">
        <v>2659194.6</v>
      </c>
    </row>
    <row r="296" spans="1:16" ht="15" hidden="1">
      <c r="A296" s="354"/>
      <c r="B296" s="362" t="s">
        <v>632</v>
      </c>
      <c r="C296" s="344"/>
      <c r="D296" s="344"/>
      <c r="E296" s="345">
        <f>E282+E283+E284+E285+E286</f>
        <v>14</v>
      </c>
      <c r="F296" s="345"/>
      <c r="G296" s="345"/>
      <c r="H296" s="345"/>
      <c r="I296" s="345"/>
      <c r="J296" s="345"/>
      <c r="K296" s="345">
        <f>K282</f>
        <v>6828.2500000000009</v>
      </c>
      <c r="L296" s="345"/>
      <c r="M296" s="345"/>
      <c r="N296" s="345"/>
      <c r="O296" s="345">
        <f>O282+O283+O284+O285+O286</f>
        <v>160965.25</v>
      </c>
      <c r="P296" s="355">
        <v>1209699</v>
      </c>
    </row>
    <row r="297" spans="1:16" ht="15" hidden="1">
      <c r="A297" s="356"/>
      <c r="B297" s="363" t="s">
        <v>633</v>
      </c>
      <c r="C297" s="340"/>
      <c r="D297" s="340"/>
      <c r="E297" s="338">
        <f>E287+E288+E289+E291+E293</f>
        <v>13</v>
      </c>
      <c r="F297" s="338"/>
      <c r="G297" s="338"/>
      <c r="H297" s="338"/>
      <c r="I297" s="338"/>
      <c r="J297" s="338"/>
      <c r="K297" s="338">
        <f>K287</f>
        <v>5216.2000000000007</v>
      </c>
      <c r="L297" s="338"/>
      <c r="M297" s="338"/>
      <c r="N297" s="338"/>
      <c r="O297" s="338">
        <f>O287+O288+O289+O291+O293</f>
        <v>126517.2</v>
      </c>
      <c r="P297" s="357">
        <v>1167120</v>
      </c>
    </row>
    <row r="298" spans="1:16" ht="15" hidden="1">
      <c r="A298" s="356"/>
      <c r="B298" s="363" t="s">
        <v>634</v>
      </c>
      <c r="C298" s="340"/>
      <c r="D298" s="340"/>
      <c r="E298" s="338">
        <v>1</v>
      </c>
      <c r="F298" s="338"/>
      <c r="G298" s="338"/>
      <c r="H298" s="338"/>
      <c r="I298" s="338"/>
      <c r="J298" s="338"/>
      <c r="K298" s="338"/>
      <c r="L298" s="338"/>
      <c r="M298" s="338">
        <f>M294*E294</f>
        <v>2148.9</v>
      </c>
      <c r="N298" s="338"/>
      <c r="O298" s="338">
        <f>O294</f>
        <v>23637.9</v>
      </c>
      <c r="P298" s="357">
        <v>94551.6</v>
      </c>
    </row>
    <row r="299" spans="1:16" ht="15.75" hidden="1" thickBot="1">
      <c r="A299" s="401"/>
      <c r="B299" s="388" t="s">
        <v>635</v>
      </c>
      <c r="C299" s="387"/>
      <c r="D299" s="387"/>
      <c r="E299" s="389">
        <v>2</v>
      </c>
      <c r="F299" s="389"/>
      <c r="G299" s="389"/>
      <c r="H299" s="389"/>
      <c r="I299" s="389"/>
      <c r="J299" s="389"/>
      <c r="K299" s="389"/>
      <c r="L299" s="389"/>
      <c r="M299" s="389"/>
      <c r="N299" s="389"/>
      <c r="O299" s="389">
        <f>O292</f>
        <v>15652</v>
      </c>
      <c r="P299" s="402">
        <v>187824</v>
      </c>
    </row>
    <row r="300" spans="1:16" ht="15.75" thickBot="1">
      <c r="A300" s="872" t="s">
        <v>688</v>
      </c>
      <c r="B300" s="858"/>
      <c r="C300" s="858"/>
      <c r="D300" s="858"/>
      <c r="E300" s="858"/>
      <c r="F300" s="858"/>
      <c r="G300" s="858"/>
      <c r="H300" s="858"/>
      <c r="I300" s="858"/>
      <c r="J300" s="858"/>
      <c r="K300" s="858"/>
      <c r="L300" s="858"/>
      <c r="M300" s="858"/>
      <c r="N300" s="858"/>
      <c r="O300" s="858"/>
      <c r="P300" s="859"/>
    </row>
    <row r="301" spans="1:16">
      <c r="A301" s="349">
        <v>1</v>
      </c>
      <c r="B301" s="314" t="s">
        <v>505</v>
      </c>
      <c r="C301" s="315"/>
      <c r="D301" s="315" t="s">
        <v>629</v>
      </c>
      <c r="E301" s="316">
        <v>1</v>
      </c>
      <c r="F301" s="503">
        <v>1.91</v>
      </c>
      <c r="G301" s="409">
        <v>12415</v>
      </c>
      <c r="H301" s="409"/>
      <c r="I301" s="409"/>
      <c r="J301" s="444" t="s">
        <v>667</v>
      </c>
      <c r="K301" s="409">
        <v>5586.75</v>
      </c>
      <c r="L301" s="409"/>
      <c r="M301" s="316"/>
      <c r="N301" s="337">
        <v>18001.75</v>
      </c>
      <c r="O301" s="316">
        <f>N301*E301</f>
        <v>18001.75</v>
      </c>
      <c r="P301" s="350">
        <v>216021</v>
      </c>
    </row>
    <row r="302" spans="1:16">
      <c r="A302" s="351">
        <v>2</v>
      </c>
      <c r="B302" s="318" t="s">
        <v>672</v>
      </c>
      <c r="C302" s="324" t="s">
        <v>559</v>
      </c>
      <c r="D302" s="324" t="s">
        <v>666</v>
      </c>
      <c r="E302" s="451">
        <v>2.5</v>
      </c>
      <c r="F302" s="469">
        <v>1.7331000000000001</v>
      </c>
      <c r="G302" s="453">
        <v>11265</v>
      </c>
      <c r="H302" s="407"/>
      <c r="I302" s="407"/>
      <c r="J302" s="428"/>
      <c r="K302" s="407"/>
      <c r="L302" s="407"/>
      <c r="M302" s="317"/>
      <c r="N302" s="337">
        <v>11265</v>
      </c>
      <c r="O302" s="316">
        <f t="shared" ref="O302:O313" si="11">N302*E302</f>
        <v>28162.5</v>
      </c>
      <c r="P302" s="352">
        <v>473130</v>
      </c>
    </row>
    <row r="303" spans="1:16">
      <c r="A303" s="351">
        <v>3</v>
      </c>
      <c r="B303" s="318" t="s">
        <v>672</v>
      </c>
      <c r="C303" s="320" t="s">
        <v>673</v>
      </c>
      <c r="D303" s="324" t="s">
        <v>666</v>
      </c>
      <c r="E303" s="451">
        <v>1</v>
      </c>
      <c r="F303" s="469">
        <v>1.6684000000000001</v>
      </c>
      <c r="G303" s="453">
        <v>10845</v>
      </c>
      <c r="H303" s="407"/>
      <c r="I303" s="407"/>
      <c r="J303" s="428"/>
      <c r="K303" s="407"/>
      <c r="L303" s="407"/>
      <c r="M303" s="317"/>
      <c r="N303" s="337">
        <v>10845</v>
      </c>
      <c r="O303" s="316">
        <f t="shared" si="11"/>
        <v>10845</v>
      </c>
      <c r="P303" s="352">
        <v>130140</v>
      </c>
    </row>
    <row r="304" spans="1:16">
      <c r="A304" s="351">
        <v>4</v>
      </c>
      <c r="B304" s="318" t="s">
        <v>672</v>
      </c>
      <c r="C304" s="320" t="s">
        <v>560</v>
      </c>
      <c r="D304" s="324" t="s">
        <v>666</v>
      </c>
      <c r="E304" s="451">
        <v>2</v>
      </c>
      <c r="F304" s="469">
        <v>1.6036999999999999</v>
      </c>
      <c r="G304" s="453">
        <v>10424</v>
      </c>
      <c r="H304" s="407"/>
      <c r="I304" s="407"/>
      <c r="J304" s="428"/>
      <c r="K304" s="407"/>
      <c r="L304" s="407"/>
      <c r="M304" s="317"/>
      <c r="N304" s="337">
        <v>10424</v>
      </c>
      <c r="O304" s="316">
        <f t="shared" si="11"/>
        <v>20848</v>
      </c>
      <c r="P304" s="352">
        <v>125088</v>
      </c>
    </row>
    <row r="305" spans="1:16">
      <c r="A305" s="351">
        <v>5</v>
      </c>
      <c r="B305" s="318" t="s">
        <v>672</v>
      </c>
      <c r="C305" s="320"/>
      <c r="D305" s="324" t="s">
        <v>666</v>
      </c>
      <c r="E305" s="451">
        <f>2-1</f>
        <v>1</v>
      </c>
      <c r="F305" s="469">
        <v>1.5389999999999999</v>
      </c>
      <c r="G305" s="453">
        <v>10004</v>
      </c>
      <c r="H305" s="407"/>
      <c r="I305" s="407"/>
      <c r="J305" s="428"/>
      <c r="K305" s="407"/>
      <c r="L305" s="407"/>
      <c r="M305" s="317"/>
      <c r="N305" s="337">
        <v>10004</v>
      </c>
      <c r="O305" s="316">
        <f t="shared" si="11"/>
        <v>10004</v>
      </c>
      <c r="P305" s="352">
        <v>240096</v>
      </c>
    </row>
    <row r="306" spans="1:16">
      <c r="A306" s="349">
        <v>6</v>
      </c>
      <c r="B306" s="318" t="s">
        <v>418</v>
      </c>
      <c r="C306" s="320"/>
      <c r="D306" s="324">
        <v>3229</v>
      </c>
      <c r="E306" s="451">
        <v>1</v>
      </c>
      <c r="F306" s="455">
        <v>1.4590000000000001</v>
      </c>
      <c r="G306" s="453">
        <v>9484</v>
      </c>
      <c r="H306" s="407"/>
      <c r="I306" s="407"/>
      <c r="J306" s="428"/>
      <c r="K306" s="407"/>
      <c r="L306" s="407"/>
      <c r="M306" s="317"/>
      <c r="N306" s="337">
        <v>9484</v>
      </c>
      <c r="O306" s="316">
        <f t="shared" si="11"/>
        <v>9484</v>
      </c>
      <c r="P306" s="352"/>
    </row>
    <row r="307" spans="1:16">
      <c r="A307" s="351">
        <v>7</v>
      </c>
      <c r="B307" s="318" t="s">
        <v>558</v>
      </c>
      <c r="C307" s="324"/>
      <c r="D307" s="324">
        <v>3231</v>
      </c>
      <c r="E307" s="451">
        <v>1</v>
      </c>
      <c r="F307" s="455">
        <v>1.4590000000000001</v>
      </c>
      <c r="G307" s="453">
        <v>9484</v>
      </c>
      <c r="H307" s="407"/>
      <c r="I307" s="407"/>
      <c r="J307" s="428" t="s">
        <v>678</v>
      </c>
      <c r="K307" s="407">
        <f>G307*J307</f>
        <v>4742</v>
      </c>
      <c r="L307" s="407"/>
      <c r="M307" s="317"/>
      <c r="N307" s="337">
        <f>G307+K307</f>
        <v>14226</v>
      </c>
      <c r="O307" s="316">
        <f>N307*E307</f>
        <v>14226</v>
      </c>
      <c r="P307" s="352">
        <v>176402.40000000002</v>
      </c>
    </row>
    <row r="308" spans="1:16">
      <c r="A308" s="351">
        <v>8</v>
      </c>
      <c r="B308" s="318" t="s">
        <v>663</v>
      </c>
      <c r="C308" s="324" t="s">
        <v>559</v>
      </c>
      <c r="D308" s="324">
        <v>3231</v>
      </c>
      <c r="E308" s="451">
        <v>1</v>
      </c>
      <c r="F308" s="455">
        <v>1.4590000000000001</v>
      </c>
      <c r="G308" s="453">
        <v>9484</v>
      </c>
      <c r="H308" s="407"/>
      <c r="I308" s="407"/>
      <c r="J308" s="428"/>
      <c r="K308" s="407"/>
      <c r="L308" s="407"/>
      <c r="M308" s="317"/>
      <c r="N308" s="337">
        <v>9484</v>
      </c>
      <c r="O308" s="316">
        <f t="shared" si="11"/>
        <v>9484</v>
      </c>
      <c r="P308" s="352">
        <v>227616</v>
      </c>
    </row>
    <row r="309" spans="1:16">
      <c r="A309" s="351">
        <v>9</v>
      </c>
      <c r="B309" s="318" t="s">
        <v>663</v>
      </c>
      <c r="C309" s="320" t="s">
        <v>673</v>
      </c>
      <c r="D309" s="324">
        <v>3231</v>
      </c>
      <c r="E309" s="451">
        <f>1+1</f>
        <v>2</v>
      </c>
      <c r="F309" s="455">
        <v>1.4079999999999999</v>
      </c>
      <c r="G309" s="453">
        <v>9152</v>
      </c>
      <c r="H309" s="407"/>
      <c r="I309" s="407"/>
      <c r="J309" s="407"/>
      <c r="K309" s="407"/>
      <c r="L309" s="407"/>
      <c r="M309" s="317"/>
      <c r="N309" s="337">
        <v>9152</v>
      </c>
      <c r="O309" s="316">
        <f t="shared" si="11"/>
        <v>18304</v>
      </c>
      <c r="P309" s="352">
        <v>109824</v>
      </c>
    </row>
    <row r="310" spans="1:16">
      <c r="A310" s="351">
        <v>10</v>
      </c>
      <c r="B310" s="318" t="s">
        <v>663</v>
      </c>
      <c r="C310" s="320" t="s">
        <v>560</v>
      </c>
      <c r="D310" s="324">
        <v>3231</v>
      </c>
      <c r="E310" s="451">
        <v>1</v>
      </c>
      <c r="F310" s="455">
        <v>1.357</v>
      </c>
      <c r="G310" s="453">
        <v>8821</v>
      </c>
      <c r="H310" s="407"/>
      <c r="I310" s="407"/>
      <c r="J310" s="407"/>
      <c r="K310" s="407"/>
      <c r="L310" s="407"/>
      <c r="M310" s="317"/>
      <c r="N310" s="337">
        <v>8821</v>
      </c>
      <c r="O310" s="316">
        <f t="shared" si="11"/>
        <v>8821</v>
      </c>
      <c r="P310" s="352">
        <v>105852</v>
      </c>
    </row>
    <row r="311" spans="1:16">
      <c r="A311" s="349">
        <v>11</v>
      </c>
      <c r="B311" s="318" t="s">
        <v>663</v>
      </c>
      <c r="C311" s="320"/>
      <c r="D311" s="324">
        <v>3231</v>
      </c>
      <c r="E311" s="451">
        <f>7-1-1</f>
        <v>5</v>
      </c>
      <c r="F311" s="455">
        <v>1.306</v>
      </c>
      <c r="G311" s="453">
        <v>8489</v>
      </c>
      <c r="H311" s="407"/>
      <c r="I311" s="407"/>
      <c r="J311" s="407"/>
      <c r="K311" s="407"/>
      <c r="L311" s="407"/>
      <c r="M311" s="317"/>
      <c r="N311" s="337">
        <v>8489</v>
      </c>
      <c r="O311" s="316">
        <f>N311*E311</f>
        <v>42445</v>
      </c>
      <c r="P311" s="352">
        <v>611208</v>
      </c>
    </row>
    <row r="312" spans="1:16">
      <c r="A312" s="351">
        <v>12</v>
      </c>
      <c r="B312" s="318" t="s">
        <v>508</v>
      </c>
      <c r="C312" s="320"/>
      <c r="D312" s="324">
        <v>4222</v>
      </c>
      <c r="E312" s="451">
        <v>2</v>
      </c>
      <c r="F312" s="455">
        <v>1.204</v>
      </c>
      <c r="G312" s="453">
        <v>7826</v>
      </c>
      <c r="H312" s="407"/>
      <c r="I312" s="407"/>
      <c r="J312" s="407"/>
      <c r="K312" s="407"/>
      <c r="L312" s="407"/>
      <c r="M312" s="317"/>
      <c r="N312" s="337">
        <v>7826</v>
      </c>
      <c r="O312" s="316">
        <f t="shared" si="11"/>
        <v>15652</v>
      </c>
      <c r="P312" s="352">
        <v>187824</v>
      </c>
    </row>
    <row r="313" spans="1:16" ht="13.5" thickBot="1">
      <c r="A313" s="351">
        <v>13</v>
      </c>
      <c r="B313" s="341" t="s">
        <v>647</v>
      </c>
      <c r="C313" s="342"/>
      <c r="D313" s="342">
        <v>5132</v>
      </c>
      <c r="E313" s="343">
        <v>2</v>
      </c>
      <c r="F313" s="503">
        <v>1.1020000000000001</v>
      </c>
      <c r="G313" s="407">
        <v>7163</v>
      </c>
      <c r="H313" s="408"/>
      <c r="I313" s="408"/>
      <c r="J313" s="408"/>
      <c r="K313" s="408"/>
      <c r="L313" s="424" t="s">
        <v>648</v>
      </c>
      <c r="M313" s="343">
        <v>716.30000000000007</v>
      </c>
      <c r="N313" s="337">
        <v>7879.3</v>
      </c>
      <c r="O313" s="316">
        <f t="shared" si="11"/>
        <v>15758.6</v>
      </c>
      <c r="P313" s="353">
        <v>189103.2</v>
      </c>
    </row>
    <row r="314" spans="1:16" ht="15.75" thickBot="1">
      <c r="A314" s="850" t="s">
        <v>637</v>
      </c>
      <c r="B314" s="851"/>
      <c r="C314" s="851"/>
      <c r="D314" s="852"/>
      <c r="E314" s="347">
        <f>SUM(E301:E313)</f>
        <v>22.5</v>
      </c>
      <c r="F314" s="347"/>
      <c r="G314" s="348"/>
      <c r="H314" s="348"/>
      <c r="I314" s="348"/>
      <c r="J314" s="348"/>
      <c r="K314" s="348"/>
      <c r="L314" s="348"/>
      <c r="M314" s="348"/>
      <c r="N314" s="348"/>
      <c r="O314" s="403">
        <f>SUM(O301:O313)</f>
        <v>222035.85</v>
      </c>
      <c r="P314" s="404">
        <v>2792304.6</v>
      </c>
    </row>
    <row r="315" spans="1:16" ht="15" hidden="1">
      <c r="A315" s="354"/>
      <c r="B315" s="362" t="s">
        <v>632</v>
      </c>
      <c r="C315" s="344"/>
      <c r="D315" s="344"/>
      <c r="E315" s="345">
        <v>8.5</v>
      </c>
      <c r="F315" s="345"/>
      <c r="G315" s="345"/>
      <c r="H315" s="345"/>
      <c r="I315" s="345"/>
      <c r="J315" s="345"/>
      <c r="K315" s="345">
        <v>5586.75</v>
      </c>
      <c r="L315" s="345"/>
      <c r="M315" s="345"/>
      <c r="N315" s="345"/>
      <c r="O315" s="345">
        <f>O301+O302+O303+O304+O305+O306</f>
        <v>97345.25</v>
      </c>
      <c r="P315" s="355">
        <v>1184475</v>
      </c>
    </row>
    <row r="316" spans="1:16" ht="15" hidden="1">
      <c r="A316" s="356"/>
      <c r="B316" s="363" t="s">
        <v>633</v>
      </c>
      <c r="C316" s="340"/>
      <c r="D316" s="340"/>
      <c r="E316" s="338">
        <v>11</v>
      </c>
      <c r="F316" s="338"/>
      <c r="G316" s="338"/>
      <c r="H316" s="338"/>
      <c r="I316" s="338"/>
      <c r="J316" s="338"/>
      <c r="K316" s="338">
        <v>5216.2000000000007</v>
      </c>
      <c r="L316" s="338"/>
      <c r="M316" s="338"/>
      <c r="N316" s="338"/>
      <c r="O316" s="338">
        <f>O307+O308+O309+O310+O311</f>
        <v>93280</v>
      </c>
      <c r="P316" s="357">
        <v>1230902.3999999999</v>
      </c>
    </row>
    <row r="317" spans="1:16" ht="15" hidden="1">
      <c r="A317" s="356"/>
      <c r="B317" s="363" t="s">
        <v>634</v>
      </c>
      <c r="C317" s="340"/>
      <c r="D317" s="340"/>
      <c r="E317" s="338">
        <v>2</v>
      </c>
      <c r="F317" s="338"/>
      <c r="G317" s="338"/>
      <c r="H317" s="338"/>
      <c r="I317" s="338"/>
      <c r="J317" s="338"/>
      <c r="K317" s="338"/>
      <c r="L317" s="338"/>
      <c r="M317" s="338">
        <f>M313*E313</f>
        <v>1432.6000000000001</v>
      </c>
      <c r="N317" s="338"/>
      <c r="O317" s="338">
        <v>15758.6</v>
      </c>
      <c r="P317" s="357">
        <v>189103.2</v>
      </c>
    </row>
    <row r="318" spans="1:16" ht="15.75" hidden="1" thickBot="1">
      <c r="A318" s="401"/>
      <c r="B318" s="388" t="s">
        <v>635</v>
      </c>
      <c r="C318" s="387"/>
      <c r="D318" s="387"/>
      <c r="E318" s="389">
        <v>2</v>
      </c>
      <c r="F318" s="389"/>
      <c r="G318" s="389"/>
      <c r="H318" s="389"/>
      <c r="I318" s="389"/>
      <c r="J318" s="389"/>
      <c r="K318" s="389"/>
      <c r="L318" s="389"/>
      <c r="M318" s="389"/>
      <c r="N318" s="389"/>
      <c r="O318" s="389">
        <v>15652</v>
      </c>
      <c r="P318" s="402">
        <v>187824</v>
      </c>
    </row>
    <row r="319" spans="1:16" ht="15.75" thickBot="1">
      <c r="A319" s="853" t="s">
        <v>689</v>
      </c>
      <c r="B319" s="854"/>
      <c r="C319" s="854"/>
      <c r="D319" s="854"/>
      <c r="E319" s="854"/>
      <c r="F319" s="854"/>
      <c r="G319" s="854"/>
      <c r="H319" s="854"/>
      <c r="I319" s="854"/>
      <c r="J319" s="854"/>
      <c r="K319" s="854"/>
      <c r="L319" s="854"/>
      <c r="M319" s="854"/>
      <c r="N319" s="854"/>
      <c r="O319" s="854"/>
      <c r="P319" s="855"/>
    </row>
    <row r="320" spans="1:16">
      <c r="A320" s="349">
        <v>1</v>
      </c>
      <c r="B320" s="314" t="s">
        <v>505</v>
      </c>
      <c r="C320" s="315"/>
      <c r="D320" s="315" t="s">
        <v>629</v>
      </c>
      <c r="E320" s="316">
        <v>1</v>
      </c>
      <c r="F320" s="503">
        <v>1.91</v>
      </c>
      <c r="G320" s="409">
        <v>12415</v>
      </c>
      <c r="H320" s="409"/>
      <c r="I320" s="409"/>
      <c r="J320" s="444" t="s">
        <v>678</v>
      </c>
      <c r="K320" s="409">
        <f>G320*J320</f>
        <v>6207.5</v>
      </c>
      <c r="L320" s="409"/>
      <c r="M320" s="409"/>
      <c r="N320" s="337">
        <f>G320+K320</f>
        <v>18622.5</v>
      </c>
      <c r="O320" s="316">
        <f>N320*E320</f>
        <v>18622.5</v>
      </c>
      <c r="P320" s="350">
        <v>238368</v>
      </c>
    </row>
    <row r="321" spans="1:16">
      <c r="A321" s="351">
        <v>2</v>
      </c>
      <c r="B321" s="318" t="s">
        <v>672</v>
      </c>
      <c r="C321" s="324" t="s">
        <v>559</v>
      </c>
      <c r="D321" s="324" t="s">
        <v>666</v>
      </c>
      <c r="E321" s="451">
        <v>3.5</v>
      </c>
      <c r="F321" s="469">
        <v>1.7331000000000001</v>
      </c>
      <c r="G321" s="453">
        <v>11265</v>
      </c>
      <c r="H321" s="407"/>
      <c r="I321" s="407"/>
      <c r="J321" s="428"/>
      <c r="K321" s="407"/>
      <c r="L321" s="407"/>
      <c r="M321" s="407"/>
      <c r="N321" s="337">
        <v>11265</v>
      </c>
      <c r="O321" s="316">
        <f t="shared" ref="O321:O333" si="12">N321*E321</f>
        <v>39427.5</v>
      </c>
      <c r="P321" s="352">
        <v>608310</v>
      </c>
    </row>
    <row r="322" spans="1:16">
      <c r="A322" s="351">
        <v>3</v>
      </c>
      <c r="B322" s="318" t="s">
        <v>672</v>
      </c>
      <c r="C322" s="320" t="s">
        <v>673</v>
      </c>
      <c r="D322" s="324" t="s">
        <v>666</v>
      </c>
      <c r="E322" s="451">
        <v>1.5</v>
      </c>
      <c r="F322" s="469">
        <v>1.6684000000000001</v>
      </c>
      <c r="G322" s="453">
        <v>10845</v>
      </c>
      <c r="H322" s="407"/>
      <c r="I322" s="407"/>
      <c r="J322" s="428"/>
      <c r="K322" s="407"/>
      <c r="L322" s="407"/>
      <c r="M322" s="407"/>
      <c r="N322" s="337">
        <v>10845</v>
      </c>
      <c r="O322" s="316">
        <f t="shared" si="12"/>
        <v>16267.5</v>
      </c>
      <c r="P322" s="352">
        <v>195210</v>
      </c>
    </row>
    <row r="323" spans="1:16">
      <c r="A323" s="351">
        <v>4</v>
      </c>
      <c r="B323" s="318" t="s">
        <v>672</v>
      </c>
      <c r="C323" s="320" t="s">
        <v>560</v>
      </c>
      <c r="D323" s="324" t="s">
        <v>666</v>
      </c>
      <c r="E323" s="451">
        <f>3-1</f>
        <v>2</v>
      </c>
      <c r="F323" s="469">
        <v>1.6036999999999999</v>
      </c>
      <c r="G323" s="453">
        <v>10424</v>
      </c>
      <c r="H323" s="407"/>
      <c r="I323" s="407"/>
      <c r="J323" s="428"/>
      <c r="K323" s="407"/>
      <c r="L323" s="407"/>
      <c r="M323" s="407"/>
      <c r="N323" s="337">
        <v>10424</v>
      </c>
      <c r="O323" s="316">
        <f t="shared" si="12"/>
        <v>20848</v>
      </c>
      <c r="P323" s="352">
        <v>375264</v>
      </c>
    </row>
    <row r="324" spans="1:16">
      <c r="A324" s="351">
        <v>5</v>
      </c>
      <c r="B324" s="318" t="s">
        <v>672</v>
      </c>
      <c r="C324" s="320"/>
      <c r="D324" s="324" t="s">
        <v>666</v>
      </c>
      <c r="E324" s="451">
        <f>5-2</f>
        <v>3</v>
      </c>
      <c r="F324" s="455">
        <v>1.5389999999999999</v>
      </c>
      <c r="G324" s="453">
        <v>10004</v>
      </c>
      <c r="H324" s="407"/>
      <c r="I324" s="407"/>
      <c r="J324" s="428"/>
      <c r="K324" s="407"/>
      <c r="L324" s="407"/>
      <c r="M324" s="407"/>
      <c r="N324" s="337">
        <v>10004</v>
      </c>
      <c r="O324" s="316">
        <f t="shared" si="12"/>
        <v>30012</v>
      </c>
      <c r="P324" s="352">
        <v>720288</v>
      </c>
    </row>
    <row r="325" spans="1:16">
      <c r="A325" s="349">
        <v>6</v>
      </c>
      <c r="B325" s="318" t="s">
        <v>569</v>
      </c>
      <c r="C325" s="320" t="s">
        <v>556</v>
      </c>
      <c r="D325" s="324" t="s">
        <v>666</v>
      </c>
      <c r="E325" s="451">
        <v>1</v>
      </c>
      <c r="F325" s="469">
        <v>1.5389999999999999</v>
      </c>
      <c r="G325" s="453">
        <v>10004</v>
      </c>
      <c r="H325" s="407"/>
      <c r="I325" s="407"/>
      <c r="J325" s="428"/>
      <c r="K325" s="407"/>
      <c r="L325" s="407"/>
      <c r="M325" s="317"/>
      <c r="N325" s="337">
        <v>10004</v>
      </c>
      <c r="O325" s="316">
        <f t="shared" si="12"/>
        <v>10004</v>
      </c>
      <c r="P325" s="352"/>
    </row>
    <row r="326" spans="1:16">
      <c r="A326" s="349">
        <v>7</v>
      </c>
      <c r="B326" s="318" t="s">
        <v>418</v>
      </c>
      <c r="C326" s="320"/>
      <c r="D326" s="324">
        <v>3229</v>
      </c>
      <c r="E326" s="451">
        <v>1</v>
      </c>
      <c r="F326" s="455">
        <v>1.4590000000000001</v>
      </c>
      <c r="G326" s="453">
        <v>9484</v>
      </c>
      <c r="H326" s="407"/>
      <c r="I326" s="407"/>
      <c r="J326" s="428"/>
      <c r="K326" s="407"/>
      <c r="L326" s="407"/>
      <c r="M326" s="317"/>
      <c r="N326" s="337">
        <v>9484</v>
      </c>
      <c r="O326" s="316">
        <f t="shared" si="12"/>
        <v>9484</v>
      </c>
      <c r="P326" s="352"/>
    </row>
    <row r="327" spans="1:16">
      <c r="A327" s="351">
        <v>8</v>
      </c>
      <c r="B327" s="318" t="s">
        <v>558</v>
      </c>
      <c r="C327" s="323"/>
      <c r="D327" s="324">
        <v>3231</v>
      </c>
      <c r="E327" s="451">
        <v>1</v>
      </c>
      <c r="F327" s="455">
        <v>1.4590000000000001</v>
      </c>
      <c r="G327" s="453">
        <v>9484</v>
      </c>
      <c r="H327" s="407"/>
      <c r="I327" s="407"/>
      <c r="J327" s="428" t="s">
        <v>674</v>
      </c>
      <c r="K327" s="407">
        <v>5216.2</v>
      </c>
      <c r="L327" s="407"/>
      <c r="M327" s="407"/>
      <c r="N327" s="337">
        <f>G327+K327</f>
        <v>14700.2</v>
      </c>
      <c r="O327" s="316">
        <f t="shared" si="12"/>
        <v>14700.2</v>
      </c>
      <c r="P327" s="352">
        <v>182092.79999999999</v>
      </c>
    </row>
    <row r="328" spans="1:16">
      <c r="A328" s="351">
        <v>9</v>
      </c>
      <c r="B328" s="318" t="s">
        <v>676</v>
      </c>
      <c r="C328" s="324" t="s">
        <v>559</v>
      </c>
      <c r="D328" s="324">
        <v>3231</v>
      </c>
      <c r="E328" s="451">
        <f>6.5-0.5-1-1</f>
        <v>4</v>
      </c>
      <c r="F328" s="455">
        <v>1.4590000000000001</v>
      </c>
      <c r="G328" s="453">
        <v>9484</v>
      </c>
      <c r="H328" s="407"/>
      <c r="I328" s="407"/>
      <c r="J328" s="428"/>
      <c r="K328" s="407"/>
      <c r="L328" s="407"/>
      <c r="M328" s="407"/>
      <c r="N328" s="337">
        <v>9484</v>
      </c>
      <c r="O328" s="316">
        <f t="shared" si="12"/>
        <v>37936</v>
      </c>
      <c r="P328" s="352">
        <v>853560</v>
      </c>
    </row>
    <row r="329" spans="1:16">
      <c r="A329" s="351">
        <v>10</v>
      </c>
      <c r="B329" s="318" t="s">
        <v>676</v>
      </c>
      <c r="C329" s="320" t="s">
        <v>673</v>
      </c>
      <c r="D329" s="324">
        <v>3231</v>
      </c>
      <c r="E329" s="451">
        <f>3-1+1</f>
        <v>3</v>
      </c>
      <c r="F329" s="455">
        <v>1.4079999999999999</v>
      </c>
      <c r="G329" s="453">
        <v>9152</v>
      </c>
      <c r="H329" s="407"/>
      <c r="I329" s="407"/>
      <c r="J329" s="428"/>
      <c r="K329" s="407"/>
      <c r="L329" s="407"/>
      <c r="M329" s="407"/>
      <c r="N329" s="337">
        <v>9152</v>
      </c>
      <c r="O329" s="316">
        <f t="shared" si="12"/>
        <v>27456</v>
      </c>
      <c r="P329" s="352">
        <v>329472</v>
      </c>
    </row>
    <row r="330" spans="1:16">
      <c r="A330" s="351">
        <v>11</v>
      </c>
      <c r="B330" s="318" t="s">
        <v>663</v>
      </c>
      <c r="C330" s="320" t="s">
        <v>560</v>
      </c>
      <c r="D330" s="324">
        <v>3231</v>
      </c>
      <c r="E330" s="451">
        <f>1+0.5</f>
        <v>1.5</v>
      </c>
      <c r="F330" s="455">
        <v>1.357</v>
      </c>
      <c r="G330" s="453">
        <v>8821</v>
      </c>
      <c r="H330" s="407"/>
      <c r="I330" s="407"/>
      <c r="J330" s="428"/>
      <c r="K330" s="407"/>
      <c r="L330" s="407"/>
      <c r="M330" s="407"/>
      <c r="N330" s="337">
        <v>8821</v>
      </c>
      <c r="O330" s="316">
        <f t="shared" si="12"/>
        <v>13231.5</v>
      </c>
      <c r="P330" s="352">
        <v>105852</v>
      </c>
    </row>
    <row r="331" spans="1:16">
      <c r="A331" s="349">
        <v>12</v>
      </c>
      <c r="B331" s="318" t="s">
        <v>676</v>
      </c>
      <c r="C331" s="320"/>
      <c r="D331" s="324">
        <v>3231</v>
      </c>
      <c r="E331" s="451">
        <v>2</v>
      </c>
      <c r="F331" s="455">
        <v>1.306</v>
      </c>
      <c r="G331" s="453">
        <v>8489</v>
      </c>
      <c r="H331" s="407"/>
      <c r="I331" s="407"/>
      <c r="J331" s="428"/>
      <c r="K331" s="407"/>
      <c r="L331" s="407"/>
      <c r="M331" s="407"/>
      <c r="N331" s="337">
        <v>8489</v>
      </c>
      <c r="O331" s="316">
        <f t="shared" si="12"/>
        <v>16978</v>
      </c>
      <c r="P331" s="352">
        <v>203736</v>
      </c>
    </row>
    <row r="332" spans="1:16">
      <c r="A332" s="351">
        <v>13</v>
      </c>
      <c r="B332" s="318" t="s">
        <v>508</v>
      </c>
      <c r="C332" s="320"/>
      <c r="D332" s="324">
        <v>4222</v>
      </c>
      <c r="E332" s="451">
        <v>2</v>
      </c>
      <c r="F332" s="455">
        <v>1.204</v>
      </c>
      <c r="G332" s="453">
        <v>7826</v>
      </c>
      <c r="H332" s="407"/>
      <c r="I332" s="407"/>
      <c r="J332" s="428"/>
      <c r="K332" s="407"/>
      <c r="L332" s="407"/>
      <c r="M332" s="407"/>
      <c r="N332" s="337">
        <v>7826</v>
      </c>
      <c r="O332" s="316">
        <f t="shared" si="12"/>
        <v>15652</v>
      </c>
      <c r="P332" s="352">
        <v>187824</v>
      </c>
    </row>
    <row r="333" spans="1:16" ht="13.5" thickBot="1">
      <c r="A333" s="351">
        <v>14</v>
      </c>
      <c r="B333" s="341" t="s">
        <v>647</v>
      </c>
      <c r="C333" s="342"/>
      <c r="D333" s="342">
        <v>5132</v>
      </c>
      <c r="E333" s="452">
        <v>3</v>
      </c>
      <c r="F333" s="472">
        <v>1.1020000000000001</v>
      </c>
      <c r="G333" s="453">
        <v>7163</v>
      </c>
      <c r="H333" s="408"/>
      <c r="I333" s="408"/>
      <c r="J333" s="430"/>
      <c r="K333" s="408"/>
      <c r="L333" s="424" t="s">
        <v>648</v>
      </c>
      <c r="M333" s="408">
        <v>716.30000000000007</v>
      </c>
      <c r="N333" s="337">
        <v>7879.3</v>
      </c>
      <c r="O333" s="316">
        <f t="shared" si="12"/>
        <v>23637.9</v>
      </c>
      <c r="P333" s="353">
        <v>283654.80000000005</v>
      </c>
    </row>
    <row r="334" spans="1:16" ht="15.75" thickBot="1">
      <c r="A334" s="850" t="s">
        <v>637</v>
      </c>
      <c r="B334" s="851"/>
      <c r="C334" s="851"/>
      <c r="D334" s="852"/>
      <c r="E334" s="347">
        <f>SUM(E320:E333)</f>
        <v>29.5</v>
      </c>
      <c r="F334" s="425"/>
      <c r="G334" s="348"/>
      <c r="H334" s="348"/>
      <c r="I334" s="348"/>
      <c r="J334" s="348"/>
      <c r="K334" s="348"/>
      <c r="L334" s="348"/>
      <c r="M334" s="348"/>
      <c r="N334" s="348"/>
      <c r="O334" s="403">
        <f>SUM(O320:O333)</f>
        <v>294257.10000000003</v>
      </c>
      <c r="P334" s="404">
        <v>4283631.5999999996</v>
      </c>
    </row>
    <row r="335" spans="1:16" ht="15" hidden="1">
      <c r="A335" s="354"/>
      <c r="B335" s="362" t="s">
        <v>632</v>
      </c>
      <c r="C335" s="344"/>
      <c r="D335" s="344"/>
      <c r="E335" s="345">
        <v>16</v>
      </c>
      <c r="F335" s="345"/>
      <c r="G335" s="345"/>
      <c r="H335" s="345"/>
      <c r="I335" s="345"/>
      <c r="J335" s="345"/>
      <c r="K335" s="345">
        <v>7449</v>
      </c>
      <c r="L335" s="345"/>
      <c r="M335" s="345"/>
      <c r="N335" s="345"/>
      <c r="O335" s="345">
        <v>178120</v>
      </c>
      <c r="P335" s="355">
        <v>2137440</v>
      </c>
    </row>
    <row r="336" spans="1:16" ht="15" hidden="1">
      <c r="A336" s="356"/>
      <c r="B336" s="363" t="s">
        <v>633</v>
      </c>
      <c r="C336" s="340"/>
      <c r="D336" s="340"/>
      <c r="E336" s="338">
        <v>14.5</v>
      </c>
      <c r="F336" s="338"/>
      <c r="G336" s="338"/>
      <c r="H336" s="338"/>
      <c r="I336" s="338"/>
      <c r="J336" s="338"/>
      <c r="K336" s="338">
        <v>5690.4</v>
      </c>
      <c r="L336" s="338"/>
      <c r="M336" s="338"/>
      <c r="N336" s="338"/>
      <c r="O336" s="338">
        <v>139559.4</v>
      </c>
      <c r="P336" s="357">
        <v>1674712.8</v>
      </c>
    </row>
    <row r="337" spans="1:16" ht="15" hidden="1">
      <c r="A337" s="356"/>
      <c r="B337" s="363" t="s">
        <v>634</v>
      </c>
      <c r="C337" s="340"/>
      <c r="D337" s="340"/>
      <c r="E337" s="338">
        <v>3</v>
      </c>
      <c r="F337" s="338"/>
      <c r="G337" s="338"/>
      <c r="H337" s="338"/>
      <c r="I337" s="338"/>
      <c r="J337" s="338"/>
      <c r="K337" s="338"/>
      <c r="L337" s="338"/>
      <c r="M337" s="338">
        <v>716.30000000000007</v>
      </c>
      <c r="N337" s="338"/>
      <c r="O337" s="338">
        <v>23637.9</v>
      </c>
      <c r="P337" s="357">
        <v>283654.80000000005</v>
      </c>
    </row>
    <row r="338" spans="1:16" ht="15.75" hidden="1" thickBot="1">
      <c r="A338" s="401"/>
      <c r="B338" s="388" t="s">
        <v>635</v>
      </c>
      <c r="C338" s="387"/>
      <c r="D338" s="387"/>
      <c r="E338" s="389">
        <v>2</v>
      </c>
      <c r="F338" s="389"/>
      <c r="G338" s="389"/>
      <c r="H338" s="389"/>
      <c r="I338" s="389"/>
      <c r="J338" s="389"/>
      <c r="K338" s="389"/>
      <c r="L338" s="389"/>
      <c r="M338" s="389"/>
      <c r="N338" s="389"/>
      <c r="O338" s="389">
        <v>15652</v>
      </c>
      <c r="P338" s="402">
        <v>187824</v>
      </c>
    </row>
    <row r="339" spans="1:16" ht="15.75" thickBot="1">
      <c r="A339" s="872" t="s">
        <v>690</v>
      </c>
      <c r="B339" s="858"/>
      <c r="C339" s="858"/>
      <c r="D339" s="858"/>
      <c r="E339" s="858"/>
      <c r="F339" s="858"/>
      <c r="G339" s="858"/>
      <c r="H339" s="858"/>
      <c r="I339" s="858"/>
      <c r="J339" s="858"/>
      <c r="K339" s="858"/>
      <c r="L339" s="858"/>
      <c r="M339" s="858"/>
      <c r="N339" s="858"/>
      <c r="O339" s="858"/>
      <c r="P339" s="859"/>
    </row>
    <row r="340" spans="1:16">
      <c r="A340" s="349">
        <v>1</v>
      </c>
      <c r="B340" s="314" t="s">
        <v>505</v>
      </c>
      <c r="C340" s="315"/>
      <c r="D340" s="315" t="s">
        <v>629</v>
      </c>
      <c r="E340" s="316">
        <v>1</v>
      </c>
      <c r="F340" s="503">
        <v>1.91</v>
      </c>
      <c r="G340" s="409">
        <v>12415</v>
      </c>
      <c r="H340" s="409"/>
      <c r="I340" s="409"/>
      <c r="J340" s="444" t="s">
        <v>674</v>
      </c>
      <c r="K340" s="409">
        <f>J340*G340</f>
        <v>7449</v>
      </c>
      <c r="L340" s="409"/>
      <c r="M340" s="316"/>
      <c r="N340" s="337">
        <f>K340+G340</f>
        <v>19864</v>
      </c>
      <c r="O340" s="316">
        <f>N340*E340</f>
        <v>19864</v>
      </c>
      <c r="P340" s="350">
        <v>245817</v>
      </c>
    </row>
    <row r="341" spans="1:16">
      <c r="A341" s="351">
        <v>2</v>
      </c>
      <c r="B341" s="318" t="s">
        <v>672</v>
      </c>
      <c r="C341" s="324" t="s">
        <v>559</v>
      </c>
      <c r="D341" s="324" t="s">
        <v>666</v>
      </c>
      <c r="E341" s="451">
        <f>7.5-1</f>
        <v>6.5</v>
      </c>
      <c r="F341" s="469">
        <v>1.7331000000000001</v>
      </c>
      <c r="G341" s="453">
        <v>11265</v>
      </c>
      <c r="H341" s="407"/>
      <c r="I341" s="407"/>
      <c r="J341" s="428"/>
      <c r="K341" s="407"/>
      <c r="L341" s="407"/>
      <c r="M341" s="317"/>
      <c r="N341" s="337">
        <v>11265</v>
      </c>
      <c r="O341" s="316">
        <f>N341*E341</f>
        <v>73222.5</v>
      </c>
      <c r="P341" s="352">
        <v>1013850</v>
      </c>
    </row>
    <row r="342" spans="1:16">
      <c r="A342" s="351">
        <v>3</v>
      </c>
      <c r="B342" s="318" t="s">
        <v>672</v>
      </c>
      <c r="C342" s="320" t="s">
        <v>673</v>
      </c>
      <c r="D342" s="324" t="s">
        <v>666</v>
      </c>
      <c r="E342" s="451">
        <f>3-1</f>
        <v>2</v>
      </c>
      <c r="F342" s="469">
        <v>1.6684000000000001</v>
      </c>
      <c r="G342" s="453">
        <v>10845</v>
      </c>
      <c r="H342" s="407"/>
      <c r="I342" s="407"/>
      <c r="J342" s="428"/>
      <c r="K342" s="407"/>
      <c r="L342" s="407"/>
      <c r="M342" s="317"/>
      <c r="N342" s="337">
        <v>10845</v>
      </c>
      <c r="O342" s="316">
        <f t="shared" ref="O342:O358" si="13">N342*E342</f>
        <v>21690</v>
      </c>
      <c r="P342" s="352">
        <v>390420</v>
      </c>
    </row>
    <row r="343" spans="1:16">
      <c r="A343" s="351">
        <v>4</v>
      </c>
      <c r="B343" s="318" t="s">
        <v>672</v>
      </c>
      <c r="C343" s="320" t="s">
        <v>560</v>
      </c>
      <c r="D343" s="324" t="s">
        <v>666</v>
      </c>
      <c r="E343" s="451">
        <v>1</v>
      </c>
      <c r="F343" s="469">
        <v>1.6036999999999999</v>
      </c>
      <c r="G343" s="453">
        <v>10424</v>
      </c>
      <c r="H343" s="407"/>
      <c r="I343" s="407"/>
      <c r="J343" s="428"/>
      <c r="K343" s="407"/>
      <c r="L343" s="407"/>
      <c r="M343" s="317"/>
      <c r="N343" s="337">
        <v>10424</v>
      </c>
      <c r="O343" s="316">
        <f t="shared" si="13"/>
        <v>10424</v>
      </c>
      <c r="P343" s="352">
        <v>125088</v>
      </c>
    </row>
    <row r="344" spans="1:16">
      <c r="A344" s="351">
        <v>5</v>
      </c>
      <c r="B344" s="318" t="s">
        <v>672</v>
      </c>
      <c r="C344" s="320"/>
      <c r="D344" s="324" t="s">
        <v>666</v>
      </c>
      <c r="E344" s="451">
        <f>1+1</f>
        <v>2</v>
      </c>
      <c r="F344" s="469">
        <v>1.5389999999999999</v>
      </c>
      <c r="G344" s="453">
        <v>10004</v>
      </c>
      <c r="H344" s="407"/>
      <c r="I344" s="407"/>
      <c r="J344" s="428"/>
      <c r="K344" s="407"/>
      <c r="L344" s="407"/>
      <c r="M344" s="317"/>
      <c r="N344" s="337">
        <v>10004</v>
      </c>
      <c r="O344" s="316">
        <f t="shared" si="13"/>
        <v>20008</v>
      </c>
      <c r="P344" s="352">
        <v>120048</v>
      </c>
    </row>
    <row r="345" spans="1:16">
      <c r="A345" s="351">
        <v>6</v>
      </c>
      <c r="B345" s="318" t="s">
        <v>691</v>
      </c>
      <c r="C345" s="320"/>
      <c r="D345" s="324" t="s">
        <v>666</v>
      </c>
      <c r="E345" s="451">
        <v>1</v>
      </c>
      <c r="F345" s="455">
        <v>1.5389999999999999</v>
      </c>
      <c r="G345" s="453">
        <v>10004</v>
      </c>
      <c r="H345" s="407"/>
      <c r="I345" s="407"/>
      <c r="J345" s="428"/>
      <c r="K345" s="407"/>
      <c r="L345" s="407"/>
      <c r="M345" s="317"/>
      <c r="N345" s="337">
        <v>10004</v>
      </c>
      <c r="O345" s="316">
        <f t="shared" si="13"/>
        <v>10004</v>
      </c>
      <c r="P345" s="352">
        <v>120048</v>
      </c>
    </row>
    <row r="346" spans="1:16">
      <c r="A346" s="351">
        <v>7</v>
      </c>
      <c r="B346" s="318" t="s">
        <v>418</v>
      </c>
      <c r="C346" s="323"/>
      <c r="D346" s="324">
        <v>3229</v>
      </c>
      <c r="E346" s="451">
        <v>1</v>
      </c>
      <c r="F346" s="455">
        <v>1.4590000000000001</v>
      </c>
      <c r="G346" s="453">
        <v>9484</v>
      </c>
      <c r="H346" s="407"/>
      <c r="I346" s="407"/>
      <c r="J346" s="428"/>
      <c r="K346" s="407"/>
      <c r="L346" s="407"/>
      <c r="M346" s="317"/>
      <c r="N346" s="337">
        <v>9484</v>
      </c>
      <c r="O346" s="316">
        <f t="shared" si="13"/>
        <v>9484</v>
      </c>
      <c r="P346" s="352">
        <v>113808</v>
      </c>
    </row>
    <row r="347" spans="1:16">
      <c r="A347" s="351">
        <v>8</v>
      </c>
      <c r="B347" s="318" t="s">
        <v>558</v>
      </c>
      <c r="C347" s="324"/>
      <c r="D347" s="324">
        <v>3231</v>
      </c>
      <c r="E347" s="451">
        <v>1</v>
      </c>
      <c r="F347" s="455">
        <v>1.4590000000000001</v>
      </c>
      <c r="G347" s="453">
        <v>9484</v>
      </c>
      <c r="H347" s="407"/>
      <c r="I347" s="407"/>
      <c r="J347" s="428" t="s">
        <v>674</v>
      </c>
      <c r="K347" s="407">
        <f>G347*J347</f>
        <v>5690.4</v>
      </c>
      <c r="L347" s="407"/>
      <c r="M347" s="317"/>
      <c r="N347" s="337">
        <f>K347+G347</f>
        <v>15174.4</v>
      </c>
      <c r="O347" s="316">
        <f t="shared" si="13"/>
        <v>15174.4</v>
      </c>
      <c r="P347" s="352">
        <v>187783.2</v>
      </c>
    </row>
    <row r="348" spans="1:16">
      <c r="A348" s="351">
        <v>9</v>
      </c>
      <c r="B348" s="318" t="s">
        <v>676</v>
      </c>
      <c r="C348" s="324" t="s">
        <v>559</v>
      </c>
      <c r="D348" s="324">
        <v>3231</v>
      </c>
      <c r="E348" s="451">
        <v>7</v>
      </c>
      <c r="F348" s="455">
        <v>1.4590000000000001</v>
      </c>
      <c r="G348" s="453">
        <v>9484</v>
      </c>
      <c r="H348" s="407"/>
      <c r="I348" s="407"/>
      <c r="J348" s="428"/>
      <c r="K348" s="407"/>
      <c r="L348" s="407"/>
      <c r="M348" s="317"/>
      <c r="N348" s="337">
        <v>9484</v>
      </c>
      <c r="O348" s="316">
        <f>N348*E348</f>
        <v>66388</v>
      </c>
      <c r="P348" s="352">
        <v>1138080</v>
      </c>
    </row>
    <row r="349" spans="1:16">
      <c r="A349" s="351">
        <v>10</v>
      </c>
      <c r="B349" s="318" t="s">
        <v>663</v>
      </c>
      <c r="C349" s="320" t="s">
        <v>673</v>
      </c>
      <c r="D349" s="324">
        <v>3231</v>
      </c>
      <c r="E349" s="451">
        <f>3-1</f>
        <v>2</v>
      </c>
      <c r="F349" s="455">
        <v>1.4079999999999999</v>
      </c>
      <c r="G349" s="453">
        <v>9152</v>
      </c>
      <c r="H349" s="407"/>
      <c r="I349" s="407"/>
      <c r="J349" s="428"/>
      <c r="K349" s="407"/>
      <c r="L349" s="407"/>
      <c r="M349" s="317"/>
      <c r="N349" s="337">
        <v>9152</v>
      </c>
      <c r="O349" s="316">
        <f t="shared" si="13"/>
        <v>18304</v>
      </c>
      <c r="P349" s="352">
        <v>219648</v>
      </c>
    </row>
    <row r="350" spans="1:16">
      <c r="A350" s="351">
        <v>11</v>
      </c>
      <c r="B350" s="318" t="s">
        <v>663</v>
      </c>
      <c r="C350" s="320" t="s">
        <v>560</v>
      </c>
      <c r="D350" s="324">
        <v>3231</v>
      </c>
      <c r="E350" s="451">
        <v>1</v>
      </c>
      <c r="F350" s="455">
        <v>1.357</v>
      </c>
      <c r="G350" s="453">
        <v>8821</v>
      </c>
      <c r="H350" s="407"/>
      <c r="I350" s="407"/>
      <c r="J350" s="428"/>
      <c r="K350" s="407"/>
      <c r="L350" s="407"/>
      <c r="M350" s="317"/>
      <c r="N350" s="337">
        <v>8821</v>
      </c>
      <c r="O350" s="316">
        <f t="shared" si="13"/>
        <v>8821</v>
      </c>
      <c r="P350" s="352">
        <v>105852</v>
      </c>
    </row>
    <row r="351" spans="1:16">
      <c r="A351" s="351">
        <v>12</v>
      </c>
      <c r="B351" s="318" t="s">
        <v>676</v>
      </c>
      <c r="C351" s="320"/>
      <c r="D351" s="324">
        <v>3231</v>
      </c>
      <c r="E351" s="451">
        <f>2-1+1</f>
        <v>2</v>
      </c>
      <c r="F351" s="455">
        <v>1.306</v>
      </c>
      <c r="G351" s="453">
        <v>8489</v>
      </c>
      <c r="H351" s="407"/>
      <c r="I351" s="407"/>
      <c r="J351" s="428"/>
      <c r="K351" s="407"/>
      <c r="L351" s="407"/>
      <c r="M351" s="317"/>
      <c r="N351" s="337">
        <v>8489</v>
      </c>
      <c r="O351" s="316">
        <f t="shared" si="13"/>
        <v>16978</v>
      </c>
      <c r="P351" s="352">
        <v>203736</v>
      </c>
    </row>
    <row r="352" spans="1:16">
      <c r="A352" s="351">
        <v>13</v>
      </c>
      <c r="B352" s="318" t="s">
        <v>692</v>
      </c>
      <c r="C352" s="324" t="s">
        <v>559</v>
      </c>
      <c r="D352" s="324">
        <v>3231</v>
      </c>
      <c r="E352" s="451">
        <v>1</v>
      </c>
      <c r="F352" s="455">
        <v>1.4590000000000001</v>
      </c>
      <c r="G352" s="453">
        <v>9484</v>
      </c>
      <c r="H352" s="407"/>
      <c r="I352" s="407"/>
      <c r="J352" s="428"/>
      <c r="K352" s="407"/>
      <c r="L352" s="424" t="s">
        <v>648</v>
      </c>
      <c r="M352" s="317">
        <v>948.40000000000009</v>
      </c>
      <c r="N352" s="337">
        <v>10432.4</v>
      </c>
      <c r="O352" s="316">
        <f t="shared" si="13"/>
        <v>10432.4</v>
      </c>
      <c r="P352" s="352">
        <v>125188.79999999999</v>
      </c>
    </row>
    <row r="353" spans="1:16">
      <c r="A353" s="351">
        <v>14</v>
      </c>
      <c r="B353" s="318" t="s">
        <v>692</v>
      </c>
      <c r="C353" s="324"/>
      <c r="D353" s="324">
        <v>3231</v>
      </c>
      <c r="E353" s="451">
        <v>2</v>
      </c>
      <c r="F353" s="455">
        <v>1.306</v>
      </c>
      <c r="G353" s="453">
        <v>8489</v>
      </c>
      <c r="H353" s="407"/>
      <c r="I353" s="407"/>
      <c r="J353" s="428"/>
      <c r="K353" s="407"/>
      <c r="L353" s="424" t="s">
        <v>648</v>
      </c>
      <c r="M353" s="317">
        <v>848.90000000000009</v>
      </c>
      <c r="N353" s="337">
        <v>9337.9</v>
      </c>
      <c r="O353" s="316">
        <f t="shared" si="13"/>
        <v>18675.8</v>
      </c>
      <c r="P353" s="352">
        <v>336164.39999999997</v>
      </c>
    </row>
    <row r="354" spans="1:16">
      <c r="A354" s="351">
        <v>15</v>
      </c>
      <c r="B354" s="318" t="s">
        <v>693</v>
      </c>
      <c r="C354" s="320" t="s">
        <v>560</v>
      </c>
      <c r="D354" s="324">
        <v>3231</v>
      </c>
      <c r="E354" s="451">
        <v>1</v>
      </c>
      <c r="F354" s="455">
        <v>1.357</v>
      </c>
      <c r="G354" s="453">
        <v>8821</v>
      </c>
      <c r="H354" s="407"/>
      <c r="I354" s="407"/>
      <c r="J354" s="428"/>
      <c r="K354" s="407"/>
      <c r="L354" s="407"/>
      <c r="M354" s="317"/>
      <c r="N354" s="337">
        <v>8821</v>
      </c>
      <c r="O354" s="316">
        <f t="shared" si="13"/>
        <v>8821</v>
      </c>
      <c r="P354" s="352">
        <v>105852</v>
      </c>
    </row>
    <row r="355" spans="1:16" hidden="1">
      <c r="A355" s="351"/>
      <c r="B355" s="318"/>
      <c r="C355" s="320"/>
      <c r="D355" s="324"/>
      <c r="E355" s="451"/>
      <c r="F355" s="455"/>
      <c r="G355" s="454"/>
      <c r="H355" s="317"/>
      <c r="I355" s="317"/>
      <c r="J355" s="424"/>
      <c r="K355" s="317"/>
      <c r="L355" s="317"/>
      <c r="M355" s="317"/>
      <c r="N355" s="337"/>
      <c r="O355" s="316"/>
      <c r="P355" s="352">
        <v>97896</v>
      </c>
    </row>
    <row r="356" spans="1:16">
      <c r="A356" s="351">
        <v>16</v>
      </c>
      <c r="B356" s="318" t="s">
        <v>508</v>
      </c>
      <c r="C356" s="320"/>
      <c r="D356" s="324">
        <v>4222</v>
      </c>
      <c r="E356" s="451">
        <v>2</v>
      </c>
      <c r="F356" s="455">
        <v>1.204</v>
      </c>
      <c r="G356" s="454">
        <v>7826</v>
      </c>
      <c r="H356" s="317"/>
      <c r="I356" s="317"/>
      <c r="J356" s="424"/>
      <c r="K356" s="317"/>
      <c r="L356" s="317"/>
      <c r="M356" s="317"/>
      <c r="N356" s="337">
        <v>7826</v>
      </c>
      <c r="O356" s="316">
        <f t="shared" si="13"/>
        <v>15652</v>
      </c>
      <c r="P356" s="352">
        <v>187824</v>
      </c>
    </row>
    <row r="357" spans="1:16">
      <c r="A357" s="351">
        <v>17</v>
      </c>
      <c r="B357" s="318" t="s">
        <v>647</v>
      </c>
      <c r="C357" s="324"/>
      <c r="D357" s="324">
        <v>5132</v>
      </c>
      <c r="E357" s="451">
        <v>2</v>
      </c>
      <c r="F357" s="455">
        <v>1.1020000000000001</v>
      </c>
      <c r="G357" s="454">
        <v>7163</v>
      </c>
      <c r="H357" s="317"/>
      <c r="I357" s="317"/>
      <c r="J357" s="424"/>
      <c r="K357" s="317"/>
      <c r="L357" s="424" t="s">
        <v>648</v>
      </c>
      <c r="M357" s="317">
        <v>716.30000000000007</v>
      </c>
      <c r="N357" s="337">
        <v>7879.3</v>
      </c>
      <c r="O357" s="316">
        <f t="shared" si="13"/>
        <v>15758.6</v>
      </c>
      <c r="P357" s="352">
        <v>189103.2</v>
      </c>
    </row>
    <row r="358" spans="1:16" ht="13.5" thickBot="1">
      <c r="A358" s="351">
        <v>18</v>
      </c>
      <c r="B358" s="341" t="s">
        <v>423</v>
      </c>
      <c r="C358" s="342"/>
      <c r="D358" s="342">
        <v>9152</v>
      </c>
      <c r="E358" s="343">
        <v>1</v>
      </c>
      <c r="F358" s="503">
        <v>1</v>
      </c>
      <c r="G358" s="317">
        <v>6500</v>
      </c>
      <c r="H358" s="343"/>
      <c r="I358" s="343"/>
      <c r="J358" s="343"/>
      <c r="K358" s="343"/>
      <c r="L358" s="343"/>
      <c r="M358" s="343"/>
      <c r="N358" s="337">
        <v>6500</v>
      </c>
      <c r="O358" s="316">
        <f t="shared" si="13"/>
        <v>6500</v>
      </c>
      <c r="P358" s="352">
        <v>39000</v>
      </c>
    </row>
    <row r="359" spans="1:16" ht="15.75" thickBot="1">
      <c r="A359" s="850" t="s">
        <v>637</v>
      </c>
      <c r="B359" s="851"/>
      <c r="C359" s="851"/>
      <c r="D359" s="852"/>
      <c r="E359" s="347">
        <f>SUM(E340:E358)</f>
        <v>36.5</v>
      </c>
      <c r="F359" s="347"/>
      <c r="G359" s="348"/>
      <c r="H359" s="348"/>
      <c r="I359" s="348"/>
      <c r="J359" s="348"/>
      <c r="K359" s="348"/>
      <c r="L359" s="348"/>
      <c r="M359" s="348"/>
      <c r="N359" s="348"/>
      <c r="O359" s="403">
        <f>SUM(O340:O358)</f>
        <v>366201.7</v>
      </c>
      <c r="P359" s="404">
        <v>5065206.6000000006</v>
      </c>
    </row>
    <row r="360" spans="1:16" ht="15" hidden="1">
      <c r="A360" s="354"/>
      <c r="B360" s="362" t="s">
        <v>632</v>
      </c>
      <c r="C360" s="344"/>
      <c r="D360" s="344"/>
      <c r="E360" s="346">
        <f>E340+E341+E342+E343+E344+E345+E346</f>
        <v>14.5</v>
      </c>
      <c r="F360" s="346"/>
      <c r="G360" s="346"/>
      <c r="H360" s="346"/>
      <c r="I360" s="346"/>
      <c r="J360" s="346"/>
      <c r="K360" s="346">
        <v>8069.75</v>
      </c>
      <c r="L360" s="346"/>
      <c r="M360" s="346"/>
      <c r="N360" s="346"/>
      <c r="O360" s="346">
        <f>O340+O341+O342+O343+O344+O345+O346</f>
        <v>164696.5</v>
      </c>
      <c r="P360" s="447">
        <v>2129079</v>
      </c>
    </row>
    <row r="361" spans="1:16" ht="15" hidden="1">
      <c r="A361" s="356"/>
      <c r="B361" s="363" t="s">
        <v>633</v>
      </c>
      <c r="C361" s="340"/>
      <c r="D361" s="340"/>
      <c r="E361" s="339">
        <f>E347+E348+E349+E350+E351+E352+E353+E354+E355</f>
        <v>17</v>
      </c>
      <c r="F361" s="339"/>
      <c r="G361" s="339"/>
      <c r="H361" s="339"/>
      <c r="I361" s="339"/>
      <c r="J361" s="339"/>
      <c r="K361" s="339">
        <v>6164.6</v>
      </c>
      <c r="L361" s="339"/>
      <c r="M361" s="339">
        <v>1797.3000000000002</v>
      </c>
      <c r="N361" s="339"/>
      <c r="O361" s="339">
        <f>O347+O348+O349+O350+O351+O352+O353+O354+O355</f>
        <v>163594.59999999998</v>
      </c>
      <c r="P361" s="399">
        <v>2520200.4</v>
      </c>
    </row>
    <row r="362" spans="1:16" ht="15" hidden="1">
      <c r="A362" s="356"/>
      <c r="B362" s="363" t="s">
        <v>634</v>
      </c>
      <c r="C362" s="340"/>
      <c r="D362" s="340"/>
      <c r="E362" s="339">
        <v>2</v>
      </c>
      <c r="F362" s="339"/>
      <c r="G362" s="339"/>
      <c r="H362" s="339"/>
      <c r="I362" s="339"/>
      <c r="J362" s="339"/>
      <c r="K362" s="339"/>
      <c r="L362" s="339"/>
      <c r="M362" s="339">
        <v>716.30000000000007</v>
      </c>
      <c r="N362" s="339"/>
      <c r="O362" s="339">
        <v>15758.6</v>
      </c>
      <c r="P362" s="399">
        <v>189103.2</v>
      </c>
    </row>
    <row r="363" spans="1:16" ht="15.75" hidden="1" thickBot="1">
      <c r="A363" s="401"/>
      <c r="B363" s="388" t="s">
        <v>635</v>
      </c>
      <c r="C363" s="387"/>
      <c r="D363" s="387"/>
      <c r="E363" s="440">
        <v>3</v>
      </c>
      <c r="F363" s="440"/>
      <c r="G363" s="440"/>
      <c r="H363" s="440"/>
      <c r="I363" s="440"/>
      <c r="J363" s="440"/>
      <c r="K363" s="440"/>
      <c r="L363" s="440"/>
      <c r="M363" s="440"/>
      <c r="N363" s="440"/>
      <c r="O363" s="440">
        <v>22152</v>
      </c>
      <c r="P363" s="448">
        <v>226824</v>
      </c>
    </row>
    <row r="364" spans="1:16" ht="15.75" thickBot="1">
      <c r="A364" s="853" t="s">
        <v>694</v>
      </c>
      <c r="B364" s="854"/>
      <c r="C364" s="854"/>
      <c r="D364" s="854"/>
      <c r="E364" s="854"/>
      <c r="F364" s="854"/>
      <c r="G364" s="854"/>
      <c r="H364" s="854"/>
      <c r="I364" s="854"/>
      <c r="J364" s="854"/>
      <c r="K364" s="854"/>
      <c r="L364" s="854"/>
      <c r="M364" s="854"/>
      <c r="N364" s="854"/>
      <c r="O364" s="854"/>
      <c r="P364" s="855"/>
    </row>
    <row r="365" spans="1:16">
      <c r="A365" s="349">
        <v>1</v>
      </c>
      <c r="B365" s="314" t="s">
        <v>505</v>
      </c>
      <c r="C365" s="315"/>
      <c r="D365" s="315" t="s">
        <v>629</v>
      </c>
      <c r="E365" s="316">
        <v>1</v>
      </c>
      <c r="F365" s="503">
        <v>1.91</v>
      </c>
      <c r="G365" s="409">
        <v>12415</v>
      </c>
      <c r="H365" s="409"/>
      <c r="I365" s="409"/>
      <c r="J365" s="444" t="s">
        <v>662</v>
      </c>
      <c r="K365" s="409">
        <v>6828.2500000000009</v>
      </c>
      <c r="L365" s="409"/>
      <c r="M365" s="316"/>
      <c r="N365" s="337">
        <v>19243.25</v>
      </c>
      <c r="O365" s="316">
        <v>19243.25</v>
      </c>
      <c r="P365" s="350">
        <v>230919</v>
      </c>
    </row>
    <row r="366" spans="1:16">
      <c r="A366" s="351">
        <v>2</v>
      </c>
      <c r="B366" s="318" t="s">
        <v>672</v>
      </c>
      <c r="C366" s="324" t="s">
        <v>559</v>
      </c>
      <c r="D366" s="324" t="s">
        <v>666</v>
      </c>
      <c r="E366" s="451">
        <v>8.5</v>
      </c>
      <c r="F366" s="469">
        <v>1.7331000000000001</v>
      </c>
      <c r="G366" s="453">
        <v>11265</v>
      </c>
      <c r="H366" s="407"/>
      <c r="I366" s="407"/>
      <c r="J366" s="428"/>
      <c r="K366" s="407"/>
      <c r="L366" s="407"/>
      <c r="M366" s="317"/>
      <c r="N366" s="337">
        <v>11265</v>
      </c>
      <c r="O366" s="317">
        <v>95752.5</v>
      </c>
      <c r="P366" s="352">
        <v>1149030</v>
      </c>
    </row>
    <row r="367" spans="1:16">
      <c r="A367" s="351">
        <v>3</v>
      </c>
      <c r="B367" s="318" t="s">
        <v>672</v>
      </c>
      <c r="C367" s="320" t="s">
        <v>673</v>
      </c>
      <c r="D367" s="324" t="s">
        <v>666</v>
      </c>
      <c r="E367" s="451">
        <v>2</v>
      </c>
      <c r="F367" s="469">
        <v>1.6684000000000001</v>
      </c>
      <c r="G367" s="453">
        <v>10845</v>
      </c>
      <c r="H367" s="407"/>
      <c r="I367" s="407"/>
      <c r="J367" s="428"/>
      <c r="K367" s="407"/>
      <c r="L367" s="407"/>
      <c r="M367" s="317"/>
      <c r="N367" s="337">
        <v>10845</v>
      </c>
      <c r="O367" s="317">
        <v>21690</v>
      </c>
      <c r="P367" s="352">
        <v>260280</v>
      </c>
    </row>
    <row r="368" spans="1:16">
      <c r="A368" s="351">
        <v>5</v>
      </c>
      <c r="B368" s="318" t="s">
        <v>672</v>
      </c>
      <c r="C368" s="320"/>
      <c r="D368" s="324" t="s">
        <v>666</v>
      </c>
      <c r="E368" s="451">
        <v>2</v>
      </c>
      <c r="F368" s="455">
        <v>1.5389999999999999</v>
      </c>
      <c r="G368" s="453">
        <v>10004</v>
      </c>
      <c r="H368" s="407"/>
      <c r="I368" s="407"/>
      <c r="J368" s="428"/>
      <c r="K368" s="407"/>
      <c r="L368" s="407"/>
      <c r="M368" s="317"/>
      <c r="N368" s="337">
        <v>10004</v>
      </c>
      <c r="O368" s="317">
        <v>20008</v>
      </c>
      <c r="P368" s="352">
        <v>240096</v>
      </c>
    </row>
    <row r="369" spans="1:16">
      <c r="A369" s="351">
        <v>6</v>
      </c>
      <c r="B369" s="318" t="s">
        <v>558</v>
      </c>
      <c r="C369" s="324"/>
      <c r="D369" s="324">
        <v>3231</v>
      </c>
      <c r="E369" s="451">
        <v>1</v>
      </c>
      <c r="F369" s="455">
        <v>1.4590000000000001</v>
      </c>
      <c r="G369" s="453">
        <v>9484</v>
      </c>
      <c r="H369" s="407"/>
      <c r="I369" s="407"/>
      <c r="J369" s="428" t="s">
        <v>674</v>
      </c>
      <c r="K369" s="407">
        <v>5690.4</v>
      </c>
      <c r="L369" s="407"/>
      <c r="M369" s="317"/>
      <c r="N369" s="337">
        <v>15174.4</v>
      </c>
      <c r="O369" s="317">
        <v>15174.4</v>
      </c>
      <c r="P369" s="352">
        <v>182092.79999999999</v>
      </c>
    </row>
    <row r="370" spans="1:16">
      <c r="A370" s="351">
        <v>7</v>
      </c>
      <c r="B370" s="318" t="s">
        <v>676</v>
      </c>
      <c r="C370" s="324" t="s">
        <v>559</v>
      </c>
      <c r="D370" s="324">
        <v>3231</v>
      </c>
      <c r="E370" s="451">
        <v>5</v>
      </c>
      <c r="F370" s="455">
        <v>1.4590000000000001</v>
      </c>
      <c r="G370" s="453">
        <v>9484</v>
      </c>
      <c r="H370" s="407"/>
      <c r="I370" s="407"/>
      <c r="J370" s="428"/>
      <c r="K370" s="407"/>
      <c r="L370" s="407"/>
      <c r="M370" s="317"/>
      <c r="N370" s="337">
        <v>9484</v>
      </c>
      <c r="O370" s="317">
        <v>47420</v>
      </c>
      <c r="P370" s="352">
        <v>569040</v>
      </c>
    </row>
    <row r="371" spans="1:16">
      <c r="A371" s="351">
        <v>8</v>
      </c>
      <c r="B371" s="318" t="s">
        <v>676</v>
      </c>
      <c r="C371" s="320" t="s">
        <v>673</v>
      </c>
      <c r="D371" s="324">
        <v>3231</v>
      </c>
      <c r="E371" s="451">
        <v>1</v>
      </c>
      <c r="F371" s="455">
        <v>1.4079999999999999</v>
      </c>
      <c r="G371" s="453">
        <v>9152</v>
      </c>
      <c r="H371" s="407"/>
      <c r="I371" s="407"/>
      <c r="J371" s="428"/>
      <c r="K371" s="407"/>
      <c r="L371" s="407"/>
      <c r="M371" s="317"/>
      <c r="N371" s="337">
        <v>9152</v>
      </c>
      <c r="O371" s="317">
        <f>N371*E371</f>
        <v>9152</v>
      </c>
      <c r="P371" s="352">
        <v>219648</v>
      </c>
    </row>
    <row r="372" spans="1:16">
      <c r="A372" s="351">
        <v>9</v>
      </c>
      <c r="B372" s="318" t="s">
        <v>663</v>
      </c>
      <c r="C372" s="320" t="s">
        <v>560</v>
      </c>
      <c r="D372" s="324">
        <v>3231</v>
      </c>
      <c r="E372" s="451">
        <v>2</v>
      </c>
      <c r="F372" s="455">
        <v>1.357</v>
      </c>
      <c r="G372" s="453">
        <v>8821</v>
      </c>
      <c r="H372" s="407"/>
      <c r="I372" s="407"/>
      <c r="J372" s="428"/>
      <c r="K372" s="407"/>
      <c r="L372" s="407"/>
      <c r="M372" s="317"/>
      <c r="N372" s="337">
        <v>8821</v>
      </c>
      <c r="O372" s="317">
        <v>17642</v>
      </c>
      <c r="P372" s="352">
        <v>211704</v>
      </c>
    </row>
    <row r="373" spans="1:16">
      <c r="A373" s="351">
        <v>10</v>
      </c>
      <c r="B373" s="318" t="s">
        <v>676</v>
      </c>
      <c r="C373" s="323"/>
      <c r="D373" s="324">
        <v>3231</v>
      </c>
      <c r="E373" s="451">
        <v>7</v>
      </c>
      <c r="F373" s="455">
        <v>1.306</v>
      </c>
      <c r="G373" s="453">
        <v>8489</v>
      </c>
      <c r="H373" s="407"/>
      <c r="I373" s="407"/>
      <c r="J373" s="428"/>
      <c r="K373" s="407"/>
      <c r="L373" s="407"/>
      <c r="M373" s="317"/>
      <c r="N373" s="337">
        <v>8489</v>
      </c>
      <c r="O373" s="317">
        <v>59423</v>
      </c>
      <c r="P373" s="352">
        <v>713076</v>
      </c>
    </row>
    <row r="374" spans="1:16">
      <c r="A374" s="351">
        <v>11</v>
      </c>
      <c r="B374" s="318" t="s">
        <v>508</v>
      </c>
      <c r="C374" s="320"/>
      <c r="D374" s="324">
        <v>4222</v>
      </c>
      <c r="E374" s="451">
        <v>2</v>
      </c>
      <c r="F374" s="455">
        <v>1.204</v>
      </c>
      <c r="G374" s="453">
        <v>7826</v>
      </c>
      <c r="H374" s="407"/>
      <c r="I374" s="407"/>
      <c r="J374" s="428"/>
      <c r="K374" s="407"/>
      <c r="L374" s="407"/>
      <c r="M374" s="317"/>
      <c r="N374" s="337">
        <v>7826</v>
      </c>
      <c r="O374" s="317">
        <v>15652</v>
      </c>
      <c r="P374" s="352">
        <v>187824</v>
      </c>
    </row>
    <row r="375" spans="1:16" ht="13.5" thickBot="1">
      <c r="A375" s="375">
        <v>12</v>
      </c>
      <c r="B375" s="341" t="s">
        <v>647</v>
      </c>
      <c r="C375" s="373"/>
      <c r="D375" s="342">
        <v>5132</v>
      </c>
      <c r="E375" s="343">
        <v>2</v>
      </c>
      <c r="F375" s="503">
        <v>1.1020000000000001</v>
      </c>
      <c r="G375" s="407">
        <v>7163</v>
      </c>
      <c r="H375" s="408"/>
      <c r="I375" s="408"/>
      <c r="J375" s="430"/>
      <c r="K375" s="408"/>
      <c r="L375" s="424" t="s">
        <v>648</v>
      </c>
      <c r="M375" s="343">
        <v>716.30000000000007</v>
      </c>
      <c r="N375" s="337">
        <v>7879.3</v>
      </c>
      <c r="O375" s="343">
        <v>15758.6</v>
      </c>
      <c r="P375" s="353">
        <v>189103.2</v>
      </c>
    </row>
    <row r="376" spans="1:16" ht="15.75" thickBot="1">
      <c r="A376" s="850" t="s">
        <v>637</v>
      </c>
      <c r="B376" s="851"/>
      <c r="C376" s="851"/>
      <c r="D376" s="852"/>
      <c r="E376" s="347">
        <f>SUM(E365:E375)</f>
        <v>33.5</v>
      </c>
      <c r="F376" s="347"/>
      <c r="G376" s="348"/>
      <c r="H376" s="348"/>
      <c r="I376" s="348"/>
      <c r="J376" s="348"/>
      <c r="K376" s="348"/>
      <c r="L376" s="348"/>
      <c r="M376" s="348"/>
      <c r="N376" s="348"/>
      <c r="O376" s="403">
        <f>SUM(O365:O375)</f>
        <v>336915.75</v>
      </c>
      <c r="P376" s="404">
        <v>4152813</v>
      </c>
    </row>
    <row r="377" spans="1:16" ht="15" hidden="1">
      <c r="A377" s="354"/>
      <c r="B377" s="362" t="s">
        <v>632</v>
      </c>
      <c r="C377" s="344"/>
      <c r="D377" s="344"/>
      <c r="E377" s="345">
        <v>13.5</v>
      </c>
      <c r="F377" s="345"/>
      <c r="G377" s="345"/>
      <c r="H377" s="345"/>
      <c r="I377" s="345"/>
      <c r="J377" s="345"/>
      <c r="K377" s="345"/>
      <c r="L377" s="345"/>
      <c r="M377" s="345"/>
      <c r="N377" s="345"/>
      <c r="O377" s="345">
        <v>156693.75</v>
      </c>
      <c r="P377" s="355">
        <v>1880325</v>
      </c>
    </row>
    <row r="378" spans="1:16" ht="15" hidden="1">
      <c r="A378" s="356"/>
      <c r="B378" s="363" t="s">
        <v>633</v>
      </c>
      <c r="C378" s="340"/>
      <c r="D378" s="340"/>
      <c r="E378" s="338">
        <f>E369+E370+E371+E372+E373</f>
        <v>16</v>
      </c>
      <c r="F378" s="338"/>
      <c r="G378" s="338"/>
      <c r="H378" s="338"/>
      <c r="I378" s="338"/>
      <c r="J378" s="338"/>
      <c r="K378" s="338">
        <v>5690.4</v>
      </c>
      <c r="L378" s="338"/>
      <c r="M378" s="338"/>
      <c r="N378" s="338"/>
      <c r="O378" s="338">
        <f>O369+O370+O371+O372+O373</f>
        <v>148811.4</v>
      </c>
      <c r="P378" s="357">
        <v>1895560.8</v>
      </c>
    </row>
    <row r="379" spans="1:16" ht="15" hidden="1">
      <c r="A379" s="356"/>
      <c r="B379" s="363" t="s">
        <v>634</v>
      </c>
      <c r="C379" s="340"/>
      <c r="D379" s="340"/>
      <c r="E379" s="338">
        <v>2</v>
      </c>
      <c r="F379" s="338"/>
      <c r="G379" s="338"/>
      <c r="H379" s="338"/>
      <c r="I379" s="338"/>
      <c r="J379" s="338"/>
      <c r="K379" s="338"/>
      <c r="L379" s="338"/>
      <c r="M379" s="338">
        <f>M375*E375</f>
        <v>1432.6000000000001</v>
      </c>
      <c r="N379" s="338"/>
      <c r="O379" s="338">
        <v>15758.6</v>
      </c>
      <c r="P379" s="357">
        <v>189103.2</v>
      </c>
    </row>
    <row r="380" spans="1:16" ht="15.75" hidden="1" thickBot="1">
      <c r="A380" s="401"/>
      <c r="B380" s="388" t="s">
        <v>635</v>
      </c>
      <c r="C380" s="387"/>
      <c r="D380" s="387"/>
      <c r="E380" s="389">
        <v>2</v>
      </c>
      <c r="F380" s="389"/>
      <c r="G380" s="389"/>
      <c r="H380" s="389"/>
      <c r="I380" s="389"/>
      <c r="J380" s="389"/>
      <c r="K380" s="389"/>
      <c r="L380" s="389"/>
      <c r="M380" s="389">
        <v>0</v>
      </c>
      <c r="N380" s="389"/>
      <c r="O380" s="389">
        <v>15652</v>
      </c>
      <c r="P380" s="402">
        <v>187824</v>
      </c>
    </row>
    <row r="381" spans="1:16" ht="15.75" thickBot="1">
      <c r="A381" s="853" t="s">
        <v>695</v>
      </c>
      <c r="B381" s="854"/>
      <c r="C381" s="854"/>
      <c r="D381" s="854"/>
      <c r="E381" s="854"/>
      <c r="F381" s="854"/>
      <c r="G381" s="854"/>
      <c r="H381" s="854"/>
      <c r="I381" s="854"/>
      <c r="J381" s="854"/>
      <c r="K381" s="854"/>
      <c r="L381" s="854"/>
      <c r="M381" s="854"/>
      <c r="N381" s="854"/>
      <c r="O381" s="854"/>
      <c r="P381" s="855"/>
    </row>
    <row r="382" spans="1:16">
      <c r="A382" s="349">
        <v>1</v>
      </c>
      <c r="B382" s="314" t="s">
        <v>505</v>
      </c>
      <c r="C382" s="315"/>
      <c r="D382" s="315" t="s">
        <v>629</v>
      </c>
      <c r="E382" s="316">
        <v>1</v>
      </c>
      <c r="F382" s="503">
        <v>1.91</v>
      </c>
      <c r="G382" s="409">
        <v>12415</v>
      </c>
      <c r="H382" s="409"/>
      <c r="I382" s="409"/>
      <c r="J382" s="444" t="s">
        <v>662</v>
      </c>
      <c r="K382" s="409">
        <v>6828.2500000000009</v>
      </c>
      <c r="L382" s="409"/>
      <c r="M382" s="316"/>
      <c r="N382" s="337">
        <v>19243.25</v>
      </c>
      <c r="O382" s="316">
        <f>N382*E382</f>
        <v>19243.25</v>
      </c>
      <c r="P382" s="350">
        <v>230919</v>
      </c>
    </row>
    <row r="383" spans="1:16">
      <c r="A383" s="351">
        <v>2</v>
      </c>
      <c r="B383" s="318" t="s">
        <v>685</v>
      </c>
      <c r="C383" s="324" t="s">
        <v>559</v>
      </c>
      <c r="D383" s="324" t="s">
        <v>666</v>
      </c>
      <c r="E383" s="451">
        <f>4+1</f>
        <v>5</v>
      </c>
      <c r="F383" s="469">
        <v>1.7331000000000001</v>
      </c>
      <c r="G383" s="453">
        <v>11265</v>
      </c>
      <c r="H383" s="407"/>
      <c r="I383" s="407"/>
      <c r="J383" s="428"/>
      <c r="K383" s="407"/>
      <c r="L383" s="407"/>
      <c r="M383" s="317"/>
      <c r="N383" s="337">
        <v>11265</v>
      </c>
      <c r="O383" s="316">
        <f>N383*E383</f>
        <v>56325</v>
      </c>
      <c r="P383" s="352">
        <v>675900</v>
      </c>
    </row>
    <row r="384" spans="1:16">
      <c r="A384" s="351">
        <v>3</v>
      </c>
      <c r="B384" s="318" t="s">
        <v>685</v>
      </c>
      <c r="C384" s="320" t="s">
        <v>673</v>
      </c>
      <c r="D384" s="324" t="s">
        <v>666</v>
      </c>
      <c r="E384" s="451">
        <f>4-1</f>
        <v>3</v>
      </c>
      <c r="F384" s="469">
        <v>1.6684000000000001</v>
      </c>
      <c r="G384" s="453">
        <v>10845</v>
      </c>
      <c r="H384" s="407"/>
      <c r="I384" s="407"/>
      <c r="J384" s="428"/>
      <c r="K384" s="407"/>
      <c r="L384" s="407"/>
      <c r="M384" s="317"/>
      <c r="N384" s="337">
        <v>10845</v>
      </c>
      <c r="O384" s="316">
        <f>N384*E384</f>
        <v>32535</v>
      </c>
      <c r="P384" s="352">
        <v>520560</v>
      </c>
    </row>
    <row r="385" spans="1:16">
      <c r="A385" s="351">
        <v>4</v>
      </c>
      <c r="B385" s="318" t="s">
        <v>680</v>
      </c>
      <c r="C385" s="320"/>
      <c r="D385" s="324" t="s">
        <v>666</v>
      </c>
      <c r="E385" s="451">
        <v>1</v>
      </c>
      <c r="F385" s="455">
        <v>1.5389999999999999</v>
      </c>
      <c r="G385" s="453">
        <v>10004</v>
      </c>
      <c r="H385" s="407"/>
      <c r="I385" s="407"/>
      <c r="J385" s="428"/>
      <c r="K385" s="407"/>
      <c r="L385" s="407"/>
      <c r="M385" s="317"/>
      <c r="N385" s="337">
        <v>10004</v>
      </c>
      <c r="O385" s="316">
        <f t="shared" ref="O385:O397" si="14">N385*E385</f>
        <v>10004</v>
      </c>
      <c r="P385" s="352">
        <v>120048</v>
      </c>
    </row>
    <row r="386" spans="1:16">
      <c r="A386" s="351">
        <v>5</v>
      </c>
      <c r="B386" s="318" t="s">
        <v>672</v>
      </c>
      <c r="C386" s="320" t="s">
        <v>560</v>
      </c>
      <c r="D386" s="323" t="s">
        <v>666</v>
      </c>
      <c r="E386" s="451">
        <v>1</v>
      </c>
      <c r="F386" s="455">
        <v>1.6036999999999999</v>
      </c>
      <c r="G386" s="453">
        <v>10424</v>
      </c>
      <c r="H386" s="407"/>
      <c r="I386" s="407"/>
      <c r="J386" s="428"/>
      <c r="K386" s="407"/>
      <c r="L386" s="407"/>
      <c r="M386" s="317"/>
      <c r="N386" s="337">
        <v>10424</v>
      </c>
      <c r="O386" s="316">
        <f t="shared" si="14"/>
        <v>10424</v>
      </c>
      <c r="P386" s="352">
        <v>125088</v>
      </c>
    </row>
    <row r="387" spans="1:16">
      <c r="A387" s="351">
        <v>6</v>
      </c>
      <c r="B387" s="318" t="s">
        <v>608</v>
      </c>
      <c r="C387" s="324" t="s">
        <v>560</v>
      </c>
      <c r="D387" s="324" t="s">
        <v>666</v>
      </c>
      <c r="E387" s="451">
        <v>1</v>
      </c>
      <c r="F387" s="455">
        <v>1.6036999999999999</v>
      </c>
      <c r="G387" s="453">
        <v>10424</v>
      </c>
      <c r="H387" s="407"/>
      <c r="I387" s="407"/>
      <c r="J387" s="428"/>
      <c r="K387" s="407"/>
      <c r="L387" s="407"/>
      <c r="M387" s="317"/>
      <c r="N387" s="337">
        <v>10424</v>
      </c>
      <c r="O387" s="316">
        <f t="shared" si="14"/>
        <v>10424</v>
      </c>
      <c r="P387" s="352">
        <v>125088</v>
      </c>
    </row>
    <row r="388" spans="1:16">
      <c r="A388" s="351">
        <v>7</v>
      </c>
      <c r="B388" s="318" t="s">
        <v>558</v>
      </c>
      <c r="C388" s="323"/>
      <c r="D388" s="324">
        <v>3231</v>
      </c>
      <c r="E388" s="451">
        <v>1</v>
      </c>
      <c r="F388" s="455">
        <v>1.4590000000000001</v>
      </c>
      <c r="G388" s="453">
        <v>9484</v>
      </c>
      <c r="H388" s="407"/>
      <c r="I388" s="407"/>
      <c r="J388" s="428" t="s">
        <v>662</v>
      </c>
      <c r="K388" s="407">
        <f>J388*G388</f>
        <v>5216.2000000000007</v>
      </c>
      <c r="L388" s="407"/>
      <c r="M388" s="317"/>
      <c r="N388" s="337">
        <f>K388+G388</f>
        <v>14700.2</v>
      </c>
      <c r="O388" s="316">
        <f t="shared" si="14"/>
        <v>14700.2</v>
      </c>
      <c r="P388" s="352">
        <v>182092.79999999999</v>
      </c>
    </row>
    <row r="389" spans="1:16">
      <c r="A389" s="351">
        <v>8</v>
      </c>
      <c r="B389" s="318" t="s">
        <v>676</v>
      </c>
      <c r="C389" s="324" t="s">
        <v>559</v>
      </c>
      <c r="D389" s="324">
        <v>3231</v>
      </c>
      <c r="E389" s="451">
        <v>0.5</v>
      </c>
      <c r="F389" s="455">
        <v>1.4590000000000001</v>
      </c>
      <c r="G389" s="453">
        <v>9484</v>
      </c>
      <c r="H389" s="407"/>
      <c r="I389" s="407"/>
      <c r="J389" s="428"/>
      <c r="K389" s="407"/>
      <c r="L389" s="407"/>
      <c r="M389" s="317"/>
      <c r="N389" s="337">
        <v>9484</v>
      </c>
      <c r="O389" s="316">
        <f t="shared" si="14"/>
        <v>4742</v>
      </c>
      <c r="P389" s="352">
        <v>56904</v>
      </c>
    </row>
    <row r="390" spans="1:16">
      <c r="A390" s="351">
        <v>9</v>
      </c>
      <c r="B390" s="318" t="s">
        <v>676</v>
      </c>
      <c r="C390" s="320" t="s">
        <v>560</v>
      </c>
      <c r="D390" s="324">
        <v>3231</v>
      </c>
      <c r="E390" s="451">
        <f>2-1</f>
        <v>1</v>
      </c>
      <c r="F390" s="455">
        <v>1.357</v>
      </c>
      <c r="G390" s="453">
        <v>8821</v>
      </c>
      <c r="H390" s="407"/>
      <c r="I390" s="407"/>
      <c r="J390" s="428"/>
      <c r="K390" s="407"/>
      <c r="L390" s="407"/>
      <c r="M390" s="317"/>
      <c r="N390" s="337">
        <v>8821</v>
      </c>
      <c r="O390" s="316">
        <f t="shared" si="14"/>
        <v>8821</v>
      </c>
      <c r="P390" s="352">
        <v>211704</v>
      </c>
    </row>
    <row r="391" spans="1:16">
      <c r="A391" s="351">
        <v>10</v>
      </c>
      <c r="B391" s="318" t="s">
        <v>676</v>
      </c>
      <c r="C391" s="320" t="s">
        <v>673</v>
      </c>
      <c r="D391" s="324">
        <v>3231</v>
      </c>
      <c r="E391" s="451">
        <v>5</v>
      </c>
      <c r="F391" s="455">
        <v>1.4079999999999999</v>
      </c>
      <c r="G391" s="453">
        <v>9152</v>
      </c>
      <c r="H391" s="407"/>
      <c r="I391" s="407"/>
      <c r="J391" s="428"/>
      <c r="K391" s="407"/>
      <c r="L391" s="407"/>
      <c r="M391" s="317"/>
      <c r="N391" s="337">
        <v>9152</v>
      </c>
      <c r="O391" s="316">
        <f t="shared" si="14"/>
        <v>45760</v>
      </c>
      <c r="P391" s="352">
        <v>658944</v>
      </c>
    </row>
    <row r="392" spans="1:16">
      <c r="A392" s="351">
        <v>11</v>
      </c>
      <c r="B392" s="325" t="s">
        <v>676</v>
      </c>
      <c r="C392" s="323"/>
      <c r="D392" s="323">
        <v>3231</v>
      </c>
      <c r="E392" s="451">
        <v>3</v>
      </c>
      <c r="F392" s="455">
        <v>1.306</v>
      </c>
      <c r="G392" s="453">
        <v>8489</v>
      </c>
      <c r="H392" s="407"/>
      <c r="I392" s="407"/>
      <c r="J392" s="428"/>
      <c r="K392" s="407"/>
      <c r="L392" s="407"/>
      <c r="M392" s="317"/>
      <c r="N392" s="337">
        <v>8489</v>
      </c>
      <c r="O392" s="316">
        <f t="shared" si="14"/>
        <v>25467</v>
      </c>
      <c r="P392" s="352">
        <v>407472</v>
      </c>
    </row>
    <row r="393" spans="1:16">
      <c r="A393" s="351">
        <v>12</v>
      </c>
      <c r="B393" s="318" t="s">
        <v>696</v>
      </c>
      <c r="C393" s="324" t="s">
        <v>559</v>
      </c>
      <c r="D393" s="324">
        <v>3231</v>
      </c>
      <c r="E393" s="451">
        <v>1</v>
      </c>
      <c r="F393" s="455">
        <v>1.4590000000000001</v>
      </c>
      <c r="G393" s="453">
        <v>9484</v>
      </c>
      <c r="H393" s="407"/>
      <c r="I393" s="407"/>
      <c r="J393" s="428"/>
      <c r="K393" s="407"/>
      <c r="L393" s="407"/>
      <c r="M393" s="317"/>
      <c r="N393" s="337">
        <v>9484</v>
      </c>
      <c r="O393" s="316">
        <f t="shared" si="14"/>
        <v>9484</v>
      </c>
      <c r="P393" s="352">
        <v>113808</v>
      </c>
    </row>
    <row r="394" spans="1:16">
      <c r="A394" s="351">
        <v>13</v>
      </c>
      <c r="B394" s="318" t="s">
        <v>681</v>
      </c>
      <c r="C394" s="320" t="s">
        <v>559</v>
      </c>
      <c r="D394" s="324">
        <v>3231</v>
      </c>
      <c r="E394" s="451">
        <v>1</v>
      </c>
      <c r="F394" s="455">
        <v>1.4590000000000001</v>
      </c>
      <c r="G394" s="453">
        <v>9484</v>
      </c>
      <c r="H394" s="428" t="s">
        <v>682</v>
      </c>
      <c r="I394" s="407">
        <v>1896.8000000000002</v>
      </c>
      <c r="J394" s="428"/>
      <c r="K394" s="407"/>
      <c r="L394" s="424" t="s">
        <v>648</v>
      </c>
      <c r="M394" s="317">
        <v>948.40000000000009</v>
      </c>
      <c r="N394" s="337">
        <v>12329.199999999999</v>
      </c>
      <c r="O394" s="316">
        <f t="shared" si="14"/>
        <v>12329.199999999999</v>
      </c>
      <c r="P394" s="352">
        <v>295900.79999999999</v>
      </c>
    </row>
    <row r="395" spans="1:16">
      <c r="A395" s="351">
        <v>14</v>
      </c>
      <c r="B395" s="318" t="s">
        <v>681</v>
      </c>
      <c r="C395" s="320"/>
      <c r="D395" s="324">
        <v>3231</v>
      </c>
      <c r="E395" s="451">
        <v>1</v>
      </c>
      <c r="F395" s="455">
        <v>1.306</v>
      </c>
      <c r="G395" s="453">
        <f>6500*F395</f>
        <v>8489</v>
      </c>
      <c r="H395" s="428" t="s">
        <v>682</v>
      </c>
      <c r="I395" s="407">
        <f>G395*H395</f>
        <v>1697.8000000000002</v>
      </c>
      <c r="J395" s="428"/>
      <c r="K395" s="407"/>
      <c r="L395" s="424" t="s">
        <v>648</v>
      </c>
      <c r="M395" s="317">
        <f>G395*L395</f>
        <v>848.90000000000009</v>
      </c>
      <c r="N395" s="337">
        <f>M395+I395+G395</f>
        <v>11035.7</v>
      </c>
      <c r="O395" s="316">
        <f t="shared" ref="O395" si="15">N395*E395</f>
        <v>11035.7</v>
      </c>
      <c r="P395" s="352"/>
    </row>
    <row r="396" spans="1:16">
      <c r="A396" s="351">
        <v>15</v>
      </c>
      <c r="B396" s="318" t="s">
        <v>508</v>
      </c>
      <c r="C396" s="320"/>
      <c r="D396" s="324">
        <v>4222</v>
      </c>
      <c r="E396" s="451">
        <v>2</v>
      </c>
      <c r="F396" s="455">
        <v>1.204</v>
      </c>
      <c r="G396" s="453">
        <v>7826</v>
      </c>
      <c r="H396" s="407"/>
      <c r="I396" s="407"/>
      <c r="J396" s="428"/>
      <c r="K396" s="407"/>
      <c r="L396" s="407"/>
      <c r="M396" s="317"/>
      <c r="N396" s="337">
        <v>7826</v>
      </c>
      <c r="O396" s="316">
        <f t="shared" si="14"/>
        <v>15652</v>
      </c>
      <c r="P396" s="352">
        <v>187824</v>
      </c>
    </row>
    <row r="397" spans="1:16" ht="13.5" thickBot="1">
      <c r="A397" s="375">
        <v>16</v>
      </c>
      <c r="B397" s="341" t="s">
        <v>647</v>
      </c>
      <c r="C397" s="342"/>
      <c r="D397" s="342">
        <v>5132</v>
      </c>
      <c r="E397" s="343">
        <v>3</v>
      </c>
      <c r="F397" s="503">
        <v>1.1020000000000001</v>
      </c>
      <c r="G397" s="407">
        <v>7163</v>
      </c>
      <c r="H397" s="408"/>
      <c r="I397" s="408"/>
      <c r="J397" s="430"/>
      <c r="K397" s="408"/>
      <c r="L397" s="424" t="s">
        <v>648</v>
      </c>
      <c r="M397" s="343">
        <v>716.30000000000007</v>
      </c>
      <c r="N397" s="337">
        <v>7879.3</v>
      </c>
      <c r="O397" s="316">
        <f t="shared" si="14"/>
        <v>23637.9</v>
      </c>
      <c r="P397" s="353">
        <v>283654.80000000005</v>
      </c>
    </row>
    <row r="398" spans="1:16" ht="15.75" thickBot="1">
      <c r="A398" s="850" t="s">
        <v>637</v>
      </c>
      <c r="B398" s="851"/>
      <c r="C398" s="851"/>
      <c r="D398" s="852"/>
      <c r="E398" s="347">
        <f>SUM(E382:E397)</f>
        <v>30.5</v>
      </c>
      <c r="F398" s="347"/>
      <c r="G398" s="348"/>
      <c r="H398" s="348"/>
      <c r="I398" s="348"/>
      <c r="J398" s="348"/>
      <c r="K398" s="348"/>
      <c r="L398" s="348"/>
      <c r="M398" s="348"/>
      <c r="N398" s="348"/>
      <c r="O398" s="403">
        <f>SUM(O382:O397)</f>
        <v>310584.25000000006</v>
      </c>
      <c r="P398" s="404">
        <v>4195907.3999999994</v>
      </c>
    </row>
    <row r="399" spans="1:16" ht="15" hidden="1">
      <c r="A399" s="354"/>
      <c r="B399" s="362" t="s">
        <v>632</v>
      </c>
      <c r="C399" s="344"/>
      <c r="D399" s="344"/>
      <c r="E399" s="345">
        <f>E382+E383+E384+E385+E386+E387</f>
        <v>12</v>
      </c>
      <c r="F399" s="345"/>
      <c r="G399" s="345"/>
      <c r="H399" s="345"/>
      <c r="I399" s="345"/>
      <c r="J399" s="345"/>
      <c r="K399" s="345">
        <v>6828.2500000000009</v>
      </c>
      <c r="L399" s="345"/>
      <c r="M399" s="345"/>
      <c r="N399" s="345"/>
      <c r="O399" s="345">
        <f>O382+O383+O384+O385+O386+O387</f>
        <v>138955.25</v>
      </c>
      <c r="P399" s="355">
        <v>1797603</v>
      </c>
    </row>
    <row r="400" spans="1:16" ht="15" hidden="1">
      <c r="A400" s="356"/>
      <c r="B400" s="363" t="s">
        <v>633</v>
      </c>
      <c r="C400" s="340"/>
      <c r="D400" s="340"/>
      <c r="E400" s="338">
        <f>E388+E389+E390+E391+E392+E393+E394+E395</f>
        <v>13.5</v>
      </c>
      <c r="F400" s="338"/>
      <c r="G400" s="338"/>
      <c r="H400" s="338"/>
      <c r="I400" s="338">
        <v>1896.8000000000002</v>
      </c>
      <c r="J400" s="338"/>
      <c r="K400" s="338">
        <v>5690.4</v>
      </c>
      <c r="L400" s="338"/>
      <c r="M400" s="338">
        <v>948.40000000000009</v>
      </c>
      <c r="N400" s="338"/>
      <c r="O400" s="338">
        <f>O388+O389+O390+O391+O392+O393+O394+O395</f>
        <v>132339.1</v>
      </c>
      <c r="P400" s="357">
        <v>1926825.6</v>
      </c>
    </row>
    <row r="401" spans="1:16" ht="15" hidden="1">
      <c r="A401" s="356"/>
      <c r="B401" s="363" t="s">
        <v>634</v>
      </c>
      <c r="C401" s="340"/>
      <c r="D401" s="340"/>
      <c r="E401" s="338">
        <v>3</v>
      </c>
      <c r="F401" s="338"/>
      <c r="G401" s="338"/>
      <c r="H401" s="338"/>
      <c r="I401" s="338"/>
      <c r="J401" s="338"/>
      <c r="K401" s="338"/>
      <c r="L401" s="338"/>
      <c r="M401" s="338">
        <v>716.30000000000007</v>
      </c>
      <c r="N401" s="338"/>
      <c r="O401" s="338">
        <v>23637.9</v>
      </c>
      <c r="P401" s="357">
        <v>283654.80000000005</v>
      </c>
    </row>
    <row r="402" spans="1:16" ht="15.75" hidden="1" thickBot="1">
      <c r="A402" s="401"/>
      <c r="B402" s="388" t="s">
        <v>635</v>
      </c>
      <c r="C402" s="387"/>
      <c r="D402" s="387"/>
      <c r="E402" s="389">
        <v>2</v>
      </c>
      <c r="F402" s="389"/>
      <c r="G402" s="389"/>
      <c r="H402" s="389"/>
      <c r="I402" s="389"/>
      <c r="J402" s="389"/>
      <c r="K402" s="389"/>
      <c r="L402" s="389"/>
      <c r="M402" s="389"/>
      <c r="N402" s="389"/>
      <c r="O402" s="389">
        <v>15652</v>
      </c>
      <c r="P402" s="402">
        <v>187824</v>
      </c>
    </row>
    <row r="403" spans="1:16" ht="15.75" thickBot="1">
      <c r="A403" s="853" t="s">
        <v>697</v>
      </c>
      <c r="B403" s="854"/>
      <c r="C403" s="854"/>
      <c r="D403" s="854"/>
      <c r="E403" s="854"/>
      <c r="F403" s="854"/>
      <c r="G403" s="854"/>
      <c r="H403" s="854"/>
      <c r="I403" s="854"/>
      <c r="J403" s="854"/>
      <c r="K403" s="854"/>
      <c r="L403" s="854"/>
      <c r="M403" s="854"/>
      <c r="N403" s="854"/>
      <c r="O403" s="854"/>
      <c r="P403" s="855"/>
    </row>
    <row r="404" spans="1:16">
      <c r="A404" s="349">
        <v>1</v>
      </c>
      <c r="B404" s="314" t="s">
        <v>505</v>
      </c>
      <c r="C404" s="315"/>
      <c r="D404" s="315" t="s">
        <v>629</v>
      </c>
      <c r="E404" s="316">
        <v>1</v>
      </c>
      <c r="F404" s="503">
        <v>1.91</v>
      </c>
      <c r="G404" s="409">
        <v>12415</v>
      </c>
      <c r="H404" s="409"/>
      <c r="I404" s="316"/>
      <c r="J404" s="445" t="s">
        <v>667</v>
      </c>
      <c r="K404" s="409">
        <f>G404*J404</f>
        <v>5586.75</v>
      </c>
      <c r="L404" s="409"/>
      <c r="M404" s="316"/>
      <c r="N404" s="337">
        <f>G404+K404</f>
        <v>18001.75</v>
      </c>
      <c r="O404" s="316">
        <f>N404*E404</f>
        <v>18001.75</v>
      </c>
      <c r="P404" s="350">
        <v>230919</v>
      </c>
    </row>
    <row r="405" spans="1:16">
      <c r="A405" s="351">
        <v>2</v>
      </c>
      <c r="B405" s="318" t="s">
        <v>685</v>
      </c>
      <c r="C405" s="324" t="s">
        <v>559</v>
      </c>
      <c r="D405" s="324" t="s">
        <v>666</v>
      </c>
      <c r="E405" s="451">
        <v>2.5</v>
      </c>
      <c r="F405" s="469">
        <v>1.7331000000000001</v>
      </c>
      <c r="G405" s="453">
        <v>11265</v>
      </c>
      <c r="H405" s="407"/>
      <c r="I405" s="317"/>
      <c r="J405" s="424"/>
      <c r="K405" s="317"/>
      <c r="L405" s="317"/>
      <c r="M405" s="317"/>
      <c r="N405" s="337">
        <v>11265</v>
      </c>
      <c r="O405" s="317">
        <v>28162.5</v>
      </c>
      <c r="P405" s="352">
        <v>337950</v>
      </c>
    </row>
    <row r="406" spans="1:16">
      <c r="A406" s="351">
        <v>3</v>
      </c>
      <c r="B406" s="318" t="s">
        <v>685</v>
      </c>
      <c r="C406" s="320" t="s">
        <v>673</v>
      </c>
      <c r="D406" s="324" t="s">
        <v>666</v>
      </c>
      <c r="E406" s="451">
        <f>3-1</f>
        <v>2</v>
      </c>
      <c r="F406" s="469">
        <v>1.6684000000000001</v>
      </c>
      <c r="G406" s="453">
        <v>10845</v>
      </c>
      <c r="H406" s="407"/>
      <c r="I406" s="317"/>
      <c r="J406" s="424"/>
      <c r="K406" s="317"/>
      <c r="L406" s="317"/>
      <c r="M406" s="317"/>
      <c r="N406" s="337">
        <v>10845</v>
      </c>
      <c r="O406" s="317">
        <f t="shared" ref="O406:O411" si="16">N406*E406</f>
        <v>21690</v>
      </c>
      <c r="P406" s="352">
        <v>390420</v>
      </c>
    </row>
    <row r="407" spans="1:16" hidden="1">
      <c r="A407" s="351"/>
      <c r="B407" s="318"/>
      <c r="C407" s="320"/>
      <c r="D407" s="324"/>
      <c r="E407" s="451"/>
      <c r="F407" s="469"/>
      <c r="G407" s="453"/>
      <c r="H407" s="407"/>
      <c r="I407" s="317"/>
      <c r="J407" s="424"/>
      <c r="K407" s="317"/>
      <c r="L407" s="317"/>
      <c r="M407" s="317"/>
      <c r="N407" s="337"/>
      <c r="O407" s="316"/>
      <c r="P407" s="352">
        <v>250176</v>
      </c>
    </row>
    <row r="408" spans="1:16">
      <c r="A408" s="351">
        <v>3</v>
      </c>
      <c r="B408" s="318" t="s">
        <v>685</v>
      </c>
      <c r="C408" s="323"/>
      <c r="D408" s="324" t="s">
        <v>666</v>
      </c>
      <c r="E408" s="451">
        <f>3+1-2+1</f>
        <v>3</v>
      </c>
      <c r="F408" s="469">
        <v>1.5389999999999999</v>
      </c>
      <c r="G408" s="453">
        <v>10004</v>
      </c>
      <c r="H408" s="407"/>
      <c r="I408" s="317"/>
      <c r="J408" s="424"/>
      <c r="K408" s="317"/>
      <c r="L408" s="317"/>
      <c r="M408" s="317"/>
      <c r="N408" s="337">
        <v>10004</v>
      </c>
      <c r="O408" s="317">
        <f t="shared" si="16"/>
        <v>30012</v>
      </c>
      <c r="P408" s="352">
        <v>360144</v>
      </c>
    </row>
    <row r="409" spans="1:16">
      <c r="A409" s="351">
        <v>4</v>
      </c>
      <c r="B409" s="318" t="s">
        <v>558</v>
      </c>
      <c r="C409" s="320"/>
      <c r="D409" s="324">
        <v>3231</v>
      </c>
      <c r="E409" s="451">
        <v>1</v>
      </c>
      <c r="F409" s="469">
        <v>1.4590000000000001</v>
      </c>
      <c r="G409" s="453">
        <v>9484</v>
      </c>
      <c r="H409" s="407"/>
      <c r="I409" s="317"/>
      <c r="J409" s="424" t="s">
        <v>662</v>
      </c>
      <c r="K409" s="317">
        <v>5216.2</v>
      </c>
      <c r="L409" s="317"/>
      <c r="M409" s="317"/>
      <c r="N409" s="337">
        <f>G409+K409</f>
        <v>14700.2</v>
      </c>
      <c r="O409" s="316">
        <f t="shared" si="16"/>
        <v>14700.2</v>
      </c>
      <c r="P409" s="352">
        <v>182092.79999999999</v>
      </c>
    </row>
    <row r="410" spans="1:16">
      <c r="A410" s="351">
        <v>5</v>
      </c>
      <c r="B410" s="318" t="s">
        <v>676</v>
      </c>
      <c r="C410" s="324" t="s">
        <v>559</v>
      </c>
      <c r="D410" s="324">
        <v>3231</v>
      </c>
      <c r="E410" s="451">
        <f>4-2</f>
        <v>2</v>
      </c>
      <c r="F410" s="455">
        <v>1.4590000000000001</v>
      </c>
      <c r="G410" s="453">
        <v>9484</v>
      </c>
      <c r="H410" s="407"/>
      <c r="I410" s="317"/>
      <c r="J410" s="424"/>
      <c r="K410" s="317"/>
      <c r="L410" s="317"/>
      <c r="M410" s="317"/>
      <c r="N410" s="337">
        <v>9484</v>
      </c>
      <c r="O410" s="317">
        <f t="shared" si="16"/>
        <v>18968</v>
      </c>
      <c r="P410" s="352">
        <v>455232</v>
      </c>
    </row>
    <row r="411" spans="1:16">
      <c r="A411" s="351">
        <v>6</v>
      </c>
      <c r="B411" s="318" t="s">
        <v>676</v>
      </c>
      <c r="C411" s="320" t="s">
        <v>673</v>
      </c>
      <c r="D411" s="324">
        <v>3231</v>
      </c>
      <c r="E411" s="451">
        <v>2</v>
      </c>
      <c r="F411" s="455">
        <v>1.4079999999999999</v>
      </c>
      <c r="G411" s="453">
        <v>9152</v>
      </c>
      <c r="H411" s="407"/>
      <c r="I411" s="317"/>
      <c r="J411" s="424"/>
      <c r="K411" s="317"/>
      <c r="L411" s="317"/>
      <c r="M411" s="317"/>
      <c r="N411" s="337">
        <f>G411+K411</f>
        <v>9152</v>
      </c>
      <c r="O411" s="316">
        <f t="shared" si="16"/>
        <v>18304</v>
      </c>
      <c r="P411" s="352">
        <v>329472</v>
      </c>
    </row>
    <row r="412" spans="1:16">
      <c r="A412" s="351">
        <v>7</v>
      </c>
      <c r="B412" s="318" t="s">
        <v>663</v>
      </c>
      <c r="C412" s="320" t="s">
        <v>560</v>
      </c>
      <c r="D412" s="324">
        <v>3231</v>
      </c>
      <c r="E412" s="451">
        <v>5</v>
      </c>
      <c r="F412" s="455">
        <v>1.357</v>
      </c>
      <c r="G412" s="453">
        <v>8821</v>
      </c>
      <c r="H412" s="407"/>
      <c r="I412" s="317"/>
      <c r="J412" s="424"/>
      <c r="K412" s="317"/>
      <c r="L412" s="317"/>
      <c r="M412" s="317"/>
      <c r="N412" s="337">
        <v>8821</v>
      </c>
      <c r="O412" s="317">
        <v>44105</v>
      </c>
      <c r="P412" s="352">
        <v>529260</v>
      </c>
    </row>
    <row r="413" spans="1:16">
      <c r="A413" s="351">
        <v>8</v>
      </c>
      <c r="B413" s="318" t="s">
        <v>681</v>
      </c>
      <c r="C413" s="324" t="s">
        <v>559</v>
      </c>
      <c r="D413" s="324">
        <v>3231</v>
      </c>
      <c r="E413" s="451">
        <v>1</v>
      </c>
      <c r="F413" s="455">
        <v>1.4590000000000001</v>
      </c>
      <c r="G413" s="453">
        <v>9484</v>
      </c>
      <c r="H413" s="428" t="s">
        <v>682</v>
      </c>
      <c r="I413" s="317">
        <v>1896.8000000000002</v>
      </c>
      <c r="J413" s="424"/>
      <c r="K413" s="317"/>
      <c r="L413" s="424" t="s">
        <v>648</v>
      </c>
      <c r="M413" s="317">
        <v>948.40000000000009</v>
      </c>
      <c r="N413" s="337">
        <v>12329.199999999999</v>
      </c>
      <c r="O413" s="317">
        <v>12329.199999999999</v>
      </c>
      <c r="P413" s="352">
        <v>147950.39999999999</v>
      </c>
    </row>
    <row r="414" spans="1:16" hidden="1">
      <c r="A414" s="351">
        <v>12</v>
      </c>
      <c r="B414" s="318" t="s">
        <v>681</v>
      </c>
      <c r="C414" s="324"/>
      <c r="D414" s="324">
        <v>3231</v>
      </c>
      <c r="E414" s="451">
        <v>0</v>
      </c>
      <c r="F414" s="455">
        <v>1.306</v>
      </c>
      <c r="G414" s="453">
        <v>8489</v>
      </c>
      <c r="H414" s="428" t="s">
        <v>682</v>
      </c>
      <c r="I414" s="317">
        <v>1697.8000000000002</v>
      </c>
      <c r="J414" s="424"/>
      <c r="K414" s="317"/>
      <c r="L414" s="424" t="s">
        <v>648</v>
      </c>
      <c r="M414" s="317">
        <v>848.90000000000009</v>
      </c>
      <c r="N414" s="337">
        <f>M414+I414+G414</f>
        <v>11035.7</v>
      </c>
      <c r="O414" s="317">
        <f>N414*E414</f>
        <v>0</v>
      </c>
      <c r="P414" s="352">
        <v>132428.4</v>
      </c>
    </row>
    <row r="415" spans="1:16" hidden="1">
      <c r="A415" s="351"/>
      <c r="B415" s="318"/>
      <c r="C415" s="320"/>
      <c r="D415" s="324"/>
      <c r="E415" s="451"/>
      <c r="F415" s="455"/>
      <c r="G415" s="453"/>
      <c r="H415" s="407"/>
      <c r="I415" s="317"/>
      <c r="J415" s="424"/>
      <c r="K415" s="317"/>
      <c r="L415" s="317"/>
      <c r="M415" s="317"/>
      <c r="N415" s="337"/>
      <c r="O415" s="317"/>
      <c r="P415" s="352">
        <v>97896</v>
      </c>
    </row>
    <row r="416" spans="1:16">
      <c r="A416" s="351">
        <v>9</v>
      </c>
      <c r="B416" s="318" t="s">
        <v>508</v>
      </c>
      <c r="C416" s="320"/>
      <c r="D416" s="324">
        <v>4222</v>
      </c>
      <c r="E416" s="451">
        <v>1</v>
      </c>
      <c r="F416" s="455">
        <v>1.204</v>
      </c>
      <c r="G416" s="453">
        <v>7826</v>
      </c>
      <c r="H416" s="407"/>
      <c r="I416" s="317"/>
      <c r="J416" s="424"/>
      <c r="K416" s="317"/>
      <c r="L416" s="317"/>
      <c r="M416" s="317"/>
      <c r="N416" s="337">
        <v>7826</v>
      </c>
      <c r="O416" s="317">
        <v>7826</v>
      </c>
      <c r="P416" s="352">
        <v>93912</v>
      </c>
    </row>
    <row r="417" spans="1:16" ht="13.5" thickBot="1">
      <c r="A417" s="351">
        <v>10</v>
      </c>
      <c r="B417" s="327" t="s">
        <v>647</v>
      </c>
      <c r="C417" s="326"/>
      <c r="D417" s="326">
        <v>5132</v>
      </c>
      <c r="E417" s="477">
        <v>2</v>
      </c>
      <c r="F417" s="455">
        <v>1.1020000000000001</v>
      </c>
      <c r="G417" s="453">
        <v>7163</v>
      </c>
      <c r="H417" s="407"/>
      <c r="I417" s="317"/>
      <c r="J417" s="424"/>
      <c r="K417" s="317"/>
      <c r="L417" s="424" t="s">
        <v>648</v>
      </c>
      <c r="M417" s="317">
        <v>716.30000000000007</v>
      </c>
      <c r="N417" s="337">
        <v>7879.3</v>
      </c>
      <c r="O417" s="317">
        <v>15758.6</v>
      </c>
      <c r="P417" s="352">
        <v>189103.2</v>
      </c>
    </row>
    <row r="418" spans="1:16" ht="13.5" hidden="1" thickBot="1">
      <c r="A418" s="375">
        <v>11</v>
      </c>
      <c r="B418" s="341" t="s">
        <v>423</v>
      </c>
      <c r="C418" s="342"/>
      <c r="D418" s="342">
        <v>9152</v>
      </c>
      <c r="E418" s="343">
        <f>1-1</f>
        <v>0</v>
      </c>
      <c r="F418" s="503">
        <v>1</v>
      </c>
      <c r="G418" s="407"/>
      <c r="H418" s="408"/>
      <c r="I418" s="343"/>
      <c r="J418" s="429"/>
      <c r="K418" s="343"/>
      <c r="L418" s="343"/>
      <c r="M418" s="343"/>
      <c r="N418" s="337"/>
      <c r="O418" s="343"/>
      <c r="P418" s="352">
        <v>39000</v>
      </c>
    </row>
    <row r="419" spans="1:16" ht="15.75" thickBot="1">
      <c r="A419" s="850" t="s">
        <v>637</v>
      </c>
      <c r="B419" s="851"/>
      <c r="C419" s="851"/>
      <c r="D419" s="852"/>
      <c r="E419" s="347">
        <f>SUM(E404:E418)</f>
        <v>22.5</v>
      </c>
      <c r="F419" s="347"/>
      <c r="G419" s="348"/>
      <c r="H419" s="348"/>
      <c r="I419" s="348"/>
      <c r="J419" s="348"/>
      <c r="K419" s="348"/>
      <c r="L419" s="348"/>
      <c r="M419" s="348"/>
      <c r="N419" s="348"/>
      <c r="O419" s="403">
        <f>SUM(O404:O418)</f>
        <v>229857.25000000003</v>
      </c>
      <c r="P419" s="404">
        <v>3765955.8</v>
      </c>
    </row>
    <row r="420" spans="1:16" ht="15" hidden="1">
      <c r="A420" s="354"/>
      <c r="B420" s="362" t="s">
        <v>632</v>
      </c>
      <c r="C420" s="344"/>
      <c r="D420" s="344"/>
      <c r="E420" s="345">
        <f>E404+E405+E406+E407+E408</f>
        <v>8.5</v>
      </c>
      <c r="F420" s="345"/>
      <c r="G420" s="345"/>
      <c r="H420" s="345"/>
      <c r="I420" s="345"/>
      <c r="J420" s="345"/>
      <c r="K420" s="345">
        <v>6828.2500000000009</v>
      </c>
      <c r="L420" s="345"/>
      <c r="M420" s="345"/>
      <c r="N420" s="345"/>
      <c r="O420" s="345">
        <f>O404+O405+O406+O407+O408</f>
        <v>97866.25</v>
      </c>
      <c r="P420" s="355">
        <v>1569609</v>
      </c>
    </row>
    <row r="421" spans="1:16" ht="15" hidden="1">
      <c r="A421" s="356"/>
      <c r="B421" s="363" t="s">
        <v>633</v>
      </c>
      <c r="C421" s="340"/>
      <c r="D421" s="340"/>
      <c r="E421" s="338">
        <f>E409+E410+E411+E412+E413+E415</f>
        <v>11</v>
      </c>
      <c r="F421" s="338"/>
      <c r="G421" s="338"/>
      <c r="H421" s="338"/>
      <c r="I421" s="338">
        <f>I413*E413</f>
        <v>1896.8000000000002</v>
      </c>
      <c r="J421" s="338"/>
      <c r="K421" s="338">
        <f>K409</f>
        <v>5216.2</v>
      </c>
      <c r="L421" s="338"/>
      <c r="M421" s="338">
        <f>M413</f>
        <v>948.40000000000009</v>
      </c>
      <c r="N421" s="338"/>
      <c r="O421" s="338">
        <f>O409+O410+O411+O412+O413+O415</f>
        <v>108406.39999999999</v>
      </c>
      <c r="P421" s="357" t="e">
        <v>#REF!</v>
      </c>
    </row>
    <row r="422" spans="1:16" ht="15" hidden="1">
      <c r="A422" s="356"/>
      <c r="B422" s="363" t="s">
        <v>634</v>
      </c>
      <c r="C422" s="340"/>
      <c r="D422" s="340"/>
      <c r="E422" s="338">
        <v>2</v>
      </c>
      <c r="F422" s="338"/>
      <c r="G422" s="338"/>
      <c r="H422" s="338"/>
      <c r="I422" s="338"/>
      <c r="J422" s="338"/>
      <c r="K422" s="338"/>
      <c r="L422" s="338"/>
      <c r="M422" s="338">
        <v>716.30000000000007</v>
      </c>
      <c r="N422" s="338"/>
      <c r="O422" s="338">
        <v>15758.6</v>
      </c>
      <c r="P422" s="357">
        <v>189103.2</v>
      </c>
    </row>
    <row r="423" spans="1:16" ht="15.75" hidden="1" thickBot="1">
      <c r="A423" s="356"/>
      <c r="B423" s="364" t="s">
        <v>635</v>
      </c>
      <c r="C423" s="340"/>
      <c r="D423" s="340"/>
      <c r="E423" s="338">
        <v>2</v>
      </c>
      <c r="F423" s="338"/>
      <c r="G423" s="338"/>
      <c r="H423" s="338"/>
      <c r="I423" s="338"/>
      <c r="J423" s="338"/>
      <c r="K423" s="338"/>
      <c r="L423" s="338"/>
      <c r="M423" s="338"/>
      <c r="N423" s="338"/>
      <c r="O423" s="338">
        <v>14326</v>
      </c>
      <c r="P423" s="357">
        <v>132912</v>
      </c>
    </row>
    <row r="424" spans="1:16" ht="15.75" thickBot="1">
      <c r="A424" s="853" t="s">
        <v>698</v>
      </c>
      <c r="B424" s="854"/>
      <c r="C424" s="854"/>
      <c r="D424" s="854"/>
      <c r="E424" s="854"/>
      <c r="F424" s="854"/>
      <c r="G424" s="854"/>
      <c r="H424" s="854"/>
      <c r="I424" s="854"/>
      <c r="J424" s="854"/>
      <c r="K424" s="854"/>
      <c r="L424" s="854"/>
      <c r="M424" s="854"/>
      <c r="N424" s="854"/>
      <c r="O424" s="854"/>
      <c r="P424" s="855"/>
    </row>
    <row r="425" spans="1:16">
      <c r="A425" s="349">
        <v>1</v>
      </c>
      <c r="B425" s="314" t="s">
        <v>505</v>
      </c>
      <c r="C425" s="315"/>
      <c r="D425" s="315" t="s">
        <v>629</v>
      </c>
      <c r="E425" s="316">
        <v>1</v>
      </c>
      <c r="F425" s="503">
        <v>1.91</v>
      </c>
      <c r="G425" s="409">
        <v>12415</v>
      </c>
      <c r="H425" s="409"/>
      <c r="I425" s="409"/>
      <c r="J425" s="444" t="s">
        <v>703</v>
      </c>
      <c r="K425" s="409">
        <f>G425*J425</f>
        <v>4966</v>
      </c>
      <c r="L425" s="409"/>
      <c r="M425" s="316"/>
      <c r="N425" s="337">
        <f>G425+K425</f>
        <v>17381</v>
      </c>
      <c r="O425" s="316">
        <f>N425*E425</f>
        <v>17381</v>
      </c>
      <c r="P425" s="350">
        <v>216021</v>
      </c>
    </row>
    <row r="426" spans="1:16">
      <c r="A426" s="351">
        <v>2</v>
      </c>
      <c r="B426" s="318" t="s">
        <v>685</v>
      </c>
      <c r="C426" s="324" t="s">
        <v>559</v>
      </c>
      <c r="D426" s="324" t="s">
        <v>666</v>
      </c>
      <c r="E426" s="451">
        <v>1.5</v>
      </c>
      <c r="F426" s="469">
        <v>1.7331000000000001</v>
      </c>
      <c r="G426" s="453">
        <v>11265</v>
      </c>
      <c r="H426" s="407"/>
      <c r="I426" s="407"/>
      <c r="J426" s="428"/>
      <c r="K426" s="407"/>
      <c r="L426" s="407"/>
      <c r="M426" s="317"/>
      <c r="N426" s="337">
        <v>11265</v>
      </c>
      <c r="O426" s="316">
        <f t="shared" ref="O426:O436" si="17">N426*E426</f>
        <v>16897.5</v>
      </c>
      <c r="P426" s="352">
        <v>202770</v>
      </c>
    </row>
    <row r="427" spans="1:16">
      <c r="A427" s="351">
        <v>3</v>
      </c>
      <c r="B427" s="318" t="s">
        <v>680</v>
      </c>
      <c r="C427" s="320" t="s">
        <v>673</v>
      </c>
      <c r="D427" s="324" t="s">
        <v>666</v>
      </c>
      <c r="E427" s="451">
        <v>1</v>
      </c>
      <c r="F427" s="469">
        <v>1.6684000000000001</v>
      </c>
      <c r="G427" s="453">
        <v>10845</v>
      </c>
      <c r="H427" s="407"/>
      <c r="I427" s="407"/>
      <c r="J427" s="428"/>
      <c r="K427" s="407"/>
      <c r="L427" s="407"/>
      <c r="M427" s="317"/>
      <c r="N427" s="337">
        <v>10845</v>
      </c>
      <c r="O427" s="316">
        <f t="shared" si="17"/>
        <v>10845</v>
      </c>
      <c r="P427" s="352">
        <v>130140</v>
      </c>
    </row>
    <row r="428" spans="1:16">
      <c r="A428" s="351">
        <v>4</v>
      </c>
      <c r="B428" s="318" t="s">
        <v>680</v>
      </c>
      <c r="C428" s="320" t="s">
        <v>560</v>
      </c>
      <c r="D428" s="324" t="s">
        <v>666</v>
      </c>
      <c r="E428" s="451">
        <v>1</v>
      </c>
      <c r="F428" s="469">
        <v>1.6036999999999999</v>
      </c>
      <c r="G428" s="453">
        <v>10424</v>
      </c>
      <c r="H428" s="407"/>
      <c r="I428" s="407"/>
      <c r="J428" s="428"/>
      <c r="K428" s="407"/>
      <c r="L428" s="407"/>
      <c r="M428" s="317"/>
      <c r="N428" s="337">
        <v>10424</v>
      </c>
      <c r="O428" s="316">
        <f t="shared" si="17"/>
        <v>10424</v>
      </c>
      <c r="P428" s="352">
        <v>250176</v>
      </c>
    </row>
    <row r="429" spans="1:16">
      <c r="A429" s="351">
        <v>5</v>
      </c>
      <c r="B429" s="318" t="s">
        <v>685</v>
      </c>
      <c r="C429" s="320"/>
      <c r="D429" s="324" t="s">
        <v>666</v>
      </c>
      <c r="E429" s="451">
        <f>3-1</f>
        <v>2</v>
      </c>
      <c r="F429" s="469">
        <v>1.5389999999999999</v>
      </c>
      <c r="G429" s="453">
        <v>10004</v>
      </c>
      <c r="H429" s="407"/>
      <c r="I429" s="407"/>
      <c r="J429" s="428"/>
      <c r="K429" s="407"/>
      <c r="L429" s="407"/>
      <c r="M429" s="317"/>
      <c r="N429" s="337">
        <v>10004</v>
      </c>
      <c r="O429" s="316">
        <f t="shared" si="17"/>
        <v>20008</v>
      </c>
      <c r="P429" s="352">
        <v>240096</v>
      </c>
    </row>
    <row r="430" spans="1:16">
      <c r="A430" s="351">
        <v>6</v>
      </c>
      <c r="B430" s="318" t="s">
        <v>672</v>
      </c>
      <c r="C430" s="324" t="s">
        <v>559</v>
      </c>
      <c r="D430" s="324" t="s">
        <v>666</v>
      </c>
      <c r="E430" s="451">
        <v>1</v>
      </c>
      <c r="F430" s="469">
        <v>1.7331000000000001</v>
      </c>
      <c r="G430" s="453">
        <v>11265</v>
      </c>
      <c r="H430" s="407"/>
      <c r="I430" s="407"/>
      <c r="J430" s="428"/>
      <c r="K430" s="407"/>
      <c r="L430" s="407"/>
      <c r="M430" s="317"/>
      <c r="N430" s="337">
        <v>11265</v>
      </c>
      <c r="O430" s="316">
        <f t="shared" si="17"/>
        <v>11265</v>
      </c>
      <c r="P430" s="352">
        <v>135180</v>
      </c>
    </row>
    <row r="431" spans="1:16">
      <c r="A431" s="351">
        <v>7</v>
      </c>
      <c r="B431" s="318" t="s">
        <v>558</v>
      </c>
      <c r="C431" s="320"/>
      <c r="D431" s="324">
        <v>3231</v>
      </c>
      <c r="E431" s="451">
        <v>1</v>
      </c>
      <c r="F431" s="469">
        <v>1.4590000000000001</v>
      </c>
      <c r="G431" s="453">
        <v>9484</v>
      </c>
      <c r="H431" s="407"/>
      <c r="I431" s="407"/>
      <c r="J431" s="428" t="s">
        <v>678</v>
      </c>
      <c r="K431" s="407">
        <v>4742</v>
      </c>
      <c r="L431" s="407"/>
      <c r="M431" s="317"/>
      <c r="N431" s="337">
        <v>14226</v>
      </c>
      <c r="O431" s="316">
        <f t="shared" si="17"/>
        <v>14226</v>
      </c>
      <c r="P431" s="352">
        <v>170712</v>
      </c>
    </row>
    <row r="432" spans="1:16">
      <c r="A432" s="351">
        <v>8</v>
      </c>
      <c r="B432" s="318" t="s">
        <v>676</v>
      </c>
      <c r="C432" s="324" t="s">
        <v>559</v>
      </c>
      <c r="D432" s="324">
        <v>3231</v>
      </c>
      <c r="E432" s="451">
        <f>5-1</f>
        <v>4</v>
      </c>
      <c r="F432" s="455">
        <v>1.4590000000000001</v>
      </c>
      <c r="G432" s="453">
        <v>9484</v>
      </c>
      <c r="H432" s="407"/>
      <c r="I432" s="407"/>
      <c r="J432" s="428"/>
      <c r="K432" s="407"/>
      <c r="L432" s="407"/>
      <c r="M432" s="317"/>
      <c r="N432" s="337">
        <v>9484</v>
      </c>
      <c r="O432" s="316">
        <f t="shared" si="17"/>
        <v>37936</v>
      </c>
      <c r="P432" s="352">
        <v>569040</v>
      </c>
    </row>
    <row r="433" spans="1:16">
      <c r="A433" s="351">
        <v>9</v>
      </c>
      <c r="B433" s="318" t="s">
        <v>676</v>
      </c>
      <c r="C433" s="320" t="s">
        <v>673</v>
      </c>
      <c r="D433" s="324">
        <v>3231</v>
      </c>
      <c r="E433" s="451">
        <f>2-1</f>
        <v>1</v>
      </c>
      <c r="F433" s="455">
        <v>1.4079999999999999</v>
      </c>
      <c r="G433" s="453">
        <v>9152</v>
      </c>
      <c r="H433" s="407"/>
      <c r="I433" s="407"/>
      <c r="J433" s="428"/>
      <c r="K433" s="407"/>
      <c r="L433" s="407"/>
      <c r="M433" s="317"/>
      <c r="N433" s="337">
        <v>9152</v>
      </c>
      <c r="O433" s="316">
        <f t="shared" si="17"/>
        <v>9152</v>
      </c>
      <c r="P433" s="352">
        <v>219648</v>
      </c>
    </row>
    <row r="434" spans="1:16">
      <c r="A434" s="351">
        <v>10</v>
      </c>
      <c r="B434" s="318" t="s">
        <v>681</v>
      </c>
      <c r="C434" s="324" t="s">
        <v>559</v>
      </c>
      <c r="D434" s="324">
        <v>3231</v>
      </c>
      <c r="E434" s="451">
        <v>2</v>
      </c>
      <c r="F434" s="455">
        <v>1.4590000000000001</v>
      </c>
      <c r="G434" s="453">
        <v>9484</v>
      </c>
      <c r="H434" s="428" t="s">
        <v>682</v>
      </c>
      <c r="I434" s="407">
        <v>1896.8000000000002</v>
      </c>
      <c r="J434" s="428"/>
      <c r="K434" s="407"/>
      <c r="L434" s="424" t="s">
        <v>648</v>
      </c>
      <c r="M434" s="317">
        <v>948.40000000000009</v>
      </c>
      <c r="N434" s="337">
        <v>12329.199999999999</v>
      </c>
      <c r="O434" s="316">
        <f t="shared" si="17"/>
        <v>24658.399999999998</v>
      </c>
      <c r="P434" s="352">
        <v>295900.79999999999</v>
      </c>
    </row>
    <row r="435" spans="1:16">
      <c r="A435" s="351">
        <v>11</v>
      </c>
      <c r="B435" s="318" t="s">
        <v>508</v>
      </c>
      <c r="C435" s="320"/>
      <c r="D435" s="324">
        <v>4222</v>
      </c>
      <c r="E435" s="451">
        <v>2</v>
      </c>
      <c r="F435" s="455">
        <v>1.204</v>
      </c>
      <c r="G435" s="453">
        <v>7826</v>
      </c>
      <c r="H435" s="407"/>
      <c r="I435" s="407"/>
      <c r="J435" s="428"/>
      <c r="K435" s="407"/>
      <c r="L435" s="407"/>
      <c r="M435" s="317"/>
      <c r="N435" s="337">
        <v>7826</v>
      </c>
      <c r="O435" s="316">
        <f t="shared" si="17"/>
        <v>15652</v>
      </c>
      <c r="P435" s="352">
        <v>187824</v>
      </c>
    </row>
    <row r="436" spans="1:16" ht="13.5" thickBot="1">
      <c r="A436" s="375">
        <v>12</v>
      </c>
      <c r="B436" s="341" t="s">
        <v>647</v>
      </c>
      <c r="C436" s="342"/>
      <c r="D436" s="342">
        <v>5132</v>
      </c>
      <c r="E436" s="343">
        <v>2</v>
      </c>
      <c r="F436" s="503">
        <v>1.1020000000000001</v>
      </c>
      <c r="G436" s="407">
        <v>7163</v>
      </c>
      <c r="H436" s="408"/>
      <c r="I436" s="408"/>
      <c r="J436" s="430"/>
      <c r="K436" s="408"/>
      <c r="L436" s="424" t="s">
        <v>648</v>
      </c>
      <c r="M436" s="343">
        <v>716.30000000000007</v>
      </c>
      <c r="N436" s="337">
        <v>7879.3</v>
      </c>
      <c r="O436" s="316">
        <f t="shared" si="17"/>
        <v>15758.6</v>
      </c>
      <c r="P436" s="353">
        <v>189103.2</v>
      </c>
    </row>
    <row r="437" spans="1:16" ht="15.75" thickBot="1">
      <c r="A437" s="850" t="s">
        <v>637</v>
      </c>
      <c r="B437" s="851"/>
      <c r="C437" s="851"/>
      <c r="D437" s="852"/>
      <c r="E437" s="347">
        <f>SUM(E425:E436)</f>
        <v>19.5</v>
      </c>
      <c r="F437" s="347"/>
      <c r="G437" s="348"/>
      <c r="H437" s="348"/>
      <c r="I437" s="348"/>
      <c r="J437" s="348"/>
      <c r="K437" s="348"/>
      <c r="L437" s="348"/>
      <c r="M437" s="348"/>
      <c r="N437" s="348"/>
      <c r="O437" s="403">
        <f>SUM(O425:O436)</f>
        <v>204203.5</v>
      </c>
      <c r="P437" s="404">
        <v>2806611</v>
      </c>
    </row>
    <row r="438" spans="1:16" ht="15" hidden="1">
      <c r="A438" s="354"/>
      <c r="B438" s="362" t="s">
        <v>632</v>
      </c>
      <c r="C438" s="344"/>
      <c r="D438" s="344"/>
      <c r="E438" s="345">
        <v>8.5</v>
      </c>
      <c r="F438" s="345"/>
      <c r="G438" s="345"/>
      <c r="H438" s="345"/>
      <c r="I438" s="345"/>
      <c r="J438" s="345"/>
      <c r="K438" s="345">
        <v>5586.75</v>
      </c>
      <c r="L438" s="345"/>
      <c r="M438" s="345"/>
      <c r="N438" s="345"/>
      <c r="O438" s="345">
        <v>97865.25</v>
      </c>
      <c r="P438" s="355">
        <v>1174383</v>
      </c>
    </row>
    <row r="439" spans="1:16" ht="15" hidden="1">
      <c r="A439" s="356"/>
      <c r="B439" s="363" t="s">
        <v>633</v>
      </c>
      <c r="C439" s="340"/>
      <c r="D439" s="340"/>
      <c r="E439" s="338">
        <f>E431+E433+E434+E432</f>
        <v>8</v>
      </c>
      <c r="F439" s="338"/>
      <c r="G439" s="338"/>
      <c r="H439" s="338"/>
      <c r="I439" s="338">
        <v>1896.8000000000002</v>
      </c>
      <c r="J439" s="338"/>
      <c r="K439" s="338">
        <v>4742</v>
      </c>
      <c r="L439" s="338"/>
      <c r="M439" s="338">
        <v>948.40000000000009</v>
      </c>
      <c r="N439" s="338"/>
      <c r="O439" s="338">
        <f>O431+O432+O433+O434</f>
        <v>85972.4</v>
      </c>
      <c r="P439" s="357">
        <v>1255300.8</v>
      </c>
    </row>
    <row r="440" spans="1:16" ht="15" hidden="1">
      <c r="A440" s="356"/>
      <c r="B440" s="363" t="s">
        <v>634</v>
      </c>
      <c r="C440" s="340"/>
      <c r="D440" s="340"/>
      <c r="E440" s="338">
        <v>2</v>
      </c>
      <c r="F440" s="338"/>
      <c r="G440" s="338"/>
      <c r="H440" s="338"/>
      <c r="I440" s="338"/>
      <c r="J440" s="338"/>
      <c r="K440" s="338"/>
      <c r="L440" s="338"/>
      <c r="M440" s="338">
        <v>716.30000000000007</v>
      </c>
      <c r="N440" s="338"/>
      <c r="O440" s="338">
        <v>15758.6</v>
      </c>
      <c r="P440" s="357">
        <v>189103.2</v>
      </c>
    </row>
    <row r="441" spans="1:16" ht="15.75" hidden="1" thickBot="1">
      <c r="A441" s="401"/>
      <c r="B441" s="388" t="s">
        <v>635</v>
      </c>
      <c r="C441" s="387"/>
      <c r="D441" s="387"/>
      <c r="E441" s="389">
        <v>2</v>
      </c>
      <c r="F441" s="389"/>
      <c r="G441" s="389"/>
      <c r="H441" s="389"/>
      <c r="I441" s="389"/>
      <c r="J441" s="389"/>
      <c r="K441" s="389"/>
      <c r="L441" s="389"/>
      <c r="M441" s="389"/>
      <c r="N441" s="389"/>
      <c r="O441" s="389">
        <v>15652</v>
      </c>
      <c r="P441" s="402">
        <v>187824</v>
      </c>
    </row>
    <row r="442" spans="1:16" ht="15.75" thickBot="1">
      <c r="A442" s="853" t="s">
        <v>699</v>
      </c>
      <c r="B442" s="854"/>
      <c r="C442" s="854"/>
      <c r="D442" s="854"/>
      <c r="E442" s="854"/>
      <c r="F442" s="854"/>
      <c r="G442" s="854"/>
      <c r="H442" s="854"/>
      <c r="I442" s="854"/>
      <c r="J442" s="854"/>
      <c r="K442" s="854"/>
      <c r="L442" s="854"/>
      <c r="M442" s="854"/>
      <c r="N442" s="854"/>
      <c r="O442" s="854"/>
      <c r="P442" s="855"/>
    </row>
    <row r="443" spans="1:16">
      <c r="A443" s="349">
        <v>1</v>
      </c>
      <c r="B443" s="314" t="s">
        <v>505</v>
      </c>
      <c r="C443" s="315"/>
      <c r="D443" s="315" t="s">
        <v>629</v>
      </c>
      <c r="E443" s="316">
        <v>1</v>
      </c>
      <c r="F443" s="503">
        <v>1.91</v>
      </c>
      <c r="G443" s="409">
        <v>12415</v>
      </c>
      <c r="H443" s="409"/>
      <c r="I443" s="316"/>
      <c r="J443" s="445" t="s">
        <v>662</v>
      </c>
      <c r="K443" s="409">
        <v>6828.2500000000009</v>
      </c>
      <c r="L443" s="409"/>
      <c r="M443" s="316"/>
      <c r="N443" s="337">
        <v>19243.25</v>
      </c>
      <c r="O443" s="316">
        <f>N443*E443</f>
        <v>19243.25</v>
      </c>
      <c r="P443" s="350">
        <v>230919</v>
      </c>
    </row>
    <row r="444" spans="1:16">
      <c r="A444" s="351">
        <v>2</v>
      </c>
      <c r="B444" s="318" t="s">
        <v>685</v>
      </c>
      <c r="C444" s="324" t="s">
        <v>559</v>
      </c>
      <c r="D444" s="324" t="s">
        <v>666</v>
      </c>
      <c r="E444" s="451">
        <v>5</v>
      </c>
      <c r="F444" s="469">
        <v>1.7331000000000001</v>
      </c>
      <c r="G444" s="453">
        <v>11265</v>
      </c>
      <c r="H444" s="407"/>
      <c r="I444" s="317"/>
      <c r="J444" s="424"/>
      <c r="K444" s="317"/>
      <c r="L444" s="317"/>
      <c r="M444" s="317"/>
      <c r="N444" s="337">
        <v>11265</v>
      </c>
      <c r="O444" s="316">
        <f>N444*E444</f>
        <v>56325</v>
      </c>
      <c r="P444" s="352">
        <v>675900</v>
      </c>
    </row>
    <row r="445" spans="1:16">
      <c r="A445" s="351">
        <v>3</v>
      </c>
      <c r="B445" s="318" t="s">
        <v>680</v>
      </c>
      <c r="C445" s="324" t="s">
        <v>673</v>
      </c>
      <c r="D445" s="324" t="s">
        <v>666</v>
      </c>
      <c r="E445" s="451">
        <v>1</v>
      </c>
      <c r="F445" s="469">
        <v>1.6684000000000001</v>
      </c>
      <c r="G445" s="453">
        <v>10845</v>
      </c>
      <c r="H445" s="407"/>
      <c r="I445" s="317"/>
      <c r="J445" s="424"/>
      <c r="K445" s="317"/>
      <c r="L445" s="317"/>
      <c r="M445" s="317"/>
      <c r="N445" s="337">
        <v>10845</v>
      </c>
      <c r="O445" s="316">
        <f t="shared" ref="O445:O459" si="18">N445*E445</f>
        <v>10845</v>
      </c>
      <c r="P445" s="352"/>
    </row>
    <row r="446" spans="1:16">
      <c r="A446" s="349">
        <v>4</v>
      </c>
      <c r="B446" s="318" t="s">
        <v>680</v>
      </c>
      <c r="C446" s="320" t="s">
        <v>560</v>
      </c>
      <c r="D446" s="324" t="s">
        <v>666</v>
      </c>
      <c r="E446" s="451">
        <f>2-1</f>
        <v>1</v>
      </c>
      <c r="F446" s="469">
        <v>1.6036999999999999</v>
      </c>
      <c r="G446" s="453">
        <v>10424</v>
      </c>
      <c r="H446" s="407"/>
      <c r="I446" s="317"/>
      <c r="J446" s="424"/>
      <c r="K446" s="317"/>
      <c r="L446" s="317"/>
      <c r="M446" s="317"/>
      <c r="N446" s="337">
        <v>10424</v>
      </c>
      <c r="O446" s="316">
        <f t="shared" si="18"/>
        <v>10424</v>
      </c>
      <c r="P446" s="352">
        <v>250176</v>
      </c>
    </row>
    <row r="447" spans="1:16">
      <c r="A447" s="351">
        <v>5</v>
      </c>
      <c r="B447" s="318" t="s">
        <v>680</v>
      </c>
      <c r="C447" s="320"/>
      <c r="D447" s="324" t="s">
        <v>666</v>
      </c>
      <c r="E447" s="451">
        <v>2</v>
      </c>
      <c r="F447" s="469">
        <v>1.5389999999999999</v>
      </c>
      <c r="G447" s="453">
        <v>10004</v>
      </c>
      <c r="H447" s="407"/>
      <c r="I447" s="317"/>
      <c r="J447" s="424"/>
      <c r="K447" s="317"/>
      <c r="L447" s="317"/>
      <c r="M447" s="317"/>
      <c r="N447" s="337">
        <v>10004</v>
      </c>
      <c r="O447" s="316">
        <f t="shared" si="18"/>
        <v>20008</v>
      </c>
      <c r="P447" s="352"/>
    </row>
    <row r="448" spans="1:16">
      <c r="A448" s="351">
        <v>6</v>
      </c>
      <c r="B448" s="318" t="s">
        <v>672</v>
      </c>
      <c r="C448" s="324" t="s">
        <v>559</v>
      </c>
      <c r="D448" s="324" t="s">
        <v>666</v>
      </c>
      <c r="E448" s="451">
        <v>0.5</v>
      </c>
      <c r="F448" s="469">
        <v>1.7331000000000001</v>
      </c>
      <c r="G448" s="453">
        <v>11265</v>
      </c>
      <c r="H448" s="407"/>
      <c r="I448" s="317"/>
      <c r="J448" s="424"/>
      <c r="K448" s="317"/>
      <c r="L448" s="317"/>
      <c r="M448" s="317"/>
      <c r="N448" s="337">
        <v>11265</v>
      </c>
      <c r="O448" s="316">
        <f t="shared" si="18"/>
        <v>5632.5</v>
      </c>
      <c r="P448" s="352">
        <v>67590</v>
      </c>
    </row>
    <row r="449" spans="1:16">
      <c r="A449" s="349">
        <v>7</v>
      </c>
      <c r="B449" s="318" t="s">
        <v>672</v>
      </c>
      <c r="C449" s="320" t="s">
        <v>560</v>
      </c>
      <c r="D449" s="324" t="s">
        <v>666</v>
      </c>
      <c r="E449" s="451">
        <v>0.5</v>
      </c>
      <c r="F449" s="469">
        <v>1.6036999999999999</v>
      </c>
      <c r="G449" s="453">
        <v>10424</v>
      </c>
      <c r="H449" s="407"/>
      <c r="I449" s="317"/>
      <c r="J449" s="424"/>
      <c r="K449" s="317"/>
      <c r="L449" s="317"/>
      <c r="M449" s="317"/>
      <c r="N449" s="337">
        <v>10424</v>
      </c>
      <c r="O449" s="316">
        <f t="shared" si="18"/>
        <v>5212</v>
      </c>
      <c r="P449" s="352">
        <v>62544</v>
      </c>
    </row>
    <row r="450" spans="1:16">
      <c r="A450" s="351">
        <f t="shared" ref="A450" si="19">A449+1</f>
        <v>8</v>
      </c>
      <c r="B450" s="318" t="s">
        <v>418</v>
      </c>
      <c r="C450" s="323"/>
      <c r="D450" s="324">
        <v>3229</v>
      </c>
      <c r="E450" s="451">
        <v>1</v>
      </c>
      <c r="F450" s="455">
        <v>1.4590000000000001</v>
      </c>
      <c r="G450" s="453">
        <v>9484</v>
      </c>
      <c r="H450" s="407"/>
      <c r="I450" s="317"/>
      <c r="J450" s="424"/>
      <c r="K450" s="317"/>
      <c r="L450" s="317"/>
      <c r="M450" s="317"/>
      <c r="N450" s="337">
        <v>9484</v>
      </c>
      <c r="O450" s="316">
        <f t="shared" si="18"/>
        <v>9484</v>
      </c>
      <c r="P450" s="352">
        <v>113808</v>
      </c>
    </row>
    <row r="451" spans="1:16">
      <c r="A451" s="351">
        <v>9</v>
      </c>
      <c r="B451" s="318" t="s">
        <v>558</v>
      </c>
      <c r="C451" s="323"/>
      <c r="D451" s="324">
        <v>3231</v>
      </c>
      <c r="E451" s="451">
        <v>1</v>
      </c>
      <c r="F451" s="455">
        <v>1.4590000000000001</v>
      </c>
      <c r="G451" s="453">
        <v>9484</v>
      </c>
      <c r="H451" s="407"/>
      <c r="I451" s="317"/>
      <c r="J451" s="424" t="s">
        <v>674</v>
      </c>
      <c r="K451" s="317">
        <f>G451*J451</f>
        <v>5690.4</v>
      </c>
      <c r="L451" s="317"/>
      <c r="M451" s="317"/>
      <c r="N451" s="337">
        <f>K451+G451</f>
        <v>15174.4</v>
      </c>
      <c r="O451" s="316">
        <f t="shared" si="18"/>
        <v>15174.4</v>
      </c>
      <c r="P451" s="352">
        <v>176402.40000000002</v>
      </c>
    </row>
    <row r="452" spans="1:16">
      <c r="A452" s="349">
        <v>10</v>
      </c>
      <c r="B452" s="318" t="s">
        <v>676</v>
      </c>
      <c r="C452" s="324" t="s">
        <v>559</v>
      </c>
      <c r="D452" s="324">
        <v>3231</v>
      </c>
      <c r="E452" s="451">
        <v>7</v>
      </c>
      <c r="F452" s="455">
        <v>1.4590000000000001</v>
      </c>
      <c r="G452" s="453">
        <v>9484</v>
      </c>
      <c r="H452" s="407"/>
      <c r="I452" s="317"/>
      <c r="J452" s="424"/>
      <c r="K452" s="317"/>
      <c r="L452" s="317"/>
      <c r="M452" s="317"/>
      <c r="N452" s="337">
        <v>9484</v>
      </c>
      <c r="O452" s="316">
        <f t="shared" si="18"/>
        <v>66388</v>
      </c>
      <c r="P452" s="352">
        <v>768204</v>
      </c>
    </row>
    <row r="453" spans="1:16">
      <c r="A453" s="351">
        <v>11</v>
      </c>
      <c r="B453" s="318" t="s">
        <v>663</v>
      </c>
      <c r="C453" s="320" t="s">
        <v>673</v>
      </c>
      <c r="D453" s="324">
        <v>3231</v>
      </c>
      <c r="E453" s="451">
        <v>2</v>
      </c>
      <c r="F453" s="455">
        <v>1.4079999999999999</v>
      </c>
      <c r="G453" s="453">
        <v>9152</v>
      </c>
      <c r="H453" s="407"/>
      <c r="I453" s="317"/>
      <c r="J453" s="424"/>
      <c r="K453" s="317"/>
      <c r="L453" s="317"/>
      <c r="M453" s="317"/>
      <c r="N453" s="337">
        <v>9152</v>
      </c>
      <c r="O453" s="316">
        <f t="shared" si="18"/>
        <v>18304</v>
      </c>
      <c r="P453" s="352">
        <v>109824</v>
      </c>
    </row>
    <row r="454" spans="1:16">
      <c r="A454" s="351">
        <v>12</v>
      </c>
      <c r="B454" s="318" t="s">
        <v>663</v>
      </c>
      <c r="C454" s="320"/>
      <c r="D454" s="324">
        <v>3231</v>
      </c>
      <c r="E454" s="451">
        <f>2-1</f>
        <v>1</v>
      </c>
      <c r="F454" s="455">
        <v>1.306</v>
      </c>
      <c r="G454" s="453">
        <v>8489</v>
      </c>
      <c r="H454" s="407"/>
      <c r="I454" s="317"/>
      <c r="J454" s="317"/>
      <c r="K454" s="317"/>
      <c r="L454" s="317"/>
      <c r="M454" s="317"/>
      <c r="N454" s="337">
        <v>8489</v>
      </c>
      <c r="O454" s="316">
        <f t="shared" si="18"/>
        <v>8489</v>
      </c>
      <c r="P454" s="352">
        <v>229203</v>
      </c>
    </row>
    <row r="455" spans="1:16">
      <c r="A455" s="349">
        <v>13</v>
      </c>
      <c r="B455" s="318" t="s">
        <v>681</v>
      </c>
      <c r="C455" s="324" t="s">
        <v>559</v>
      </c>
      <c r="D455" s="324">
        <v>3231</v>
      </c>
      <c r="E455" s="451">
        <v>2</v>
      </c>
      <c r="F455" s="455">
        <v>1.4590000000000001</v>
      </c>
      <c r="G455" s="453">
        <v>9484</v>
      </c>
      <c r="H455" s="428" t="s">
        <v>682</v>
      </c>
      <c r="I455" s="317">
        <v>1896.8000000000002</v>
      </c>
      <c r="J455" s="317"/>
      <c r="K455" s="317"/>
      <c r="L455" s="424" t="s">
        <v>648</v>
      </c>
      <c r="M455" s="317">
        <v>948.40000000000009</v>
      </c>
      <c r="N455" s="337">
        <v>12329.199999999999</v>
      </c>
      <c r="O455" s="316">
        <f t="shared" si="18"/>
        <v>24658.399999999998</v>
      </c>
      <c r="P455" s="352">
        <v>295900.79999999999</v>
      </c>
    </row>
    <row r="456" spans="1:16">
      <c r="A456" s="351">
        <f t="shared" ref="A456" si="20">A455+1</f>
        <v>14</v>
      </c>
      <c r="B456" s="318" t="s">
        <v>700</v>
      </c>
      <c r="C456" s="320" t="s">
        <v>673</v>
      </c>
      <c r="D456" s="324">
        <v>3231</v>
      </c>
      <c r="E456" s="451">
        <f>1+1</f>
        <v>2</v>
      </c>
      <c r="F456" s="455">
        <v>1.4079999999999999</v>
      </c>
      <c r="G456" s="453">
        <v>9152</v>
      </c>
      <c r="H456" s="428"/>
      <c r="I456" s="317"/>
      <c r="J456" s="317"/>
      <c r="K456" s="317"/>
      <c r="L456" s="424"/>
      <c r="M456" s="317"/>
      <c r="N456" s="337">
        <v>9152</v>
      </c>
      <c r="O456" s="316">
        <f t="shared" si="18"/>
        <v>18304</v>
      </c>
      <c r="P456" s="352"/>
    </row>
    <row r="457" spans="1:16">
      <c r="A457" s="351">
        <v>15</v>
      </c>
      <c r="B457" s="318" t="s">
        <v>508</v>
      </c>
      <c r="C457" s="320"/>
      <c r="D457" s="324">
        <v>4222</v>
      </c>
      <c r="E457" s="451">
        <v>2</v>
      </c>
      <c r="F457" s="455">
        <v>1.204</v>
      </c>
      <c r="G457" s="453">
        <v>7826</v>
      </c>
      <c r="H457" s="407"/>
      <c r="I457" s="317"/>
      <c r="J457" s="317"/>
      <c r="K457" s="317"/>
      <c r="L457" s="317"/>
      <c r="M457" s="317"/>
      <c r="N457" s="337">
        <v>7826</v>
      </c>
      <c r="O457" s="316">
        <f t="shared" si="18"/>
        <v>15652</v>
      </c>
      <c r="P457" s="352">
        <v>187824</v>
      </c>
    </row>
    <row r="458" spans="1:16" ht="15" customHeight="1" thickBot="1">
      <c r="A458" s="349">
        <v>16</v>
      </c>
      <c r="B458" s="318" t="s">
        <v>647</v>
      </c>
      <c r="C458" s="324"/>
      <c r="D458" s="324">
        <v>5132</v>
      </c>
      <c r="E458" s="451">
        <v>3</v>
      </c>
      <c r="F458" s="455">
        <v>1.1020000000000001</v>
      </c>
      <c r="G458" s="453">
        <v>7163</v>
      </c>
      <c r="H458" s="407"/>
      <c r="I458" s="317"/>
      <c r="J458" s="317"/>
      <c r="K458" s="317"/>
      <c r="L458" s="424" t="s">
        <v>648</v>
      </c>
      <c r="M458" s="317">
        <v>716.30000000000007</v>
      </c>
      <c r="N458" s="337">
        <v>7879.3</v>
      </c>
      <c r="O458" s="316">
        <f t="shared" si="18"/>
        <v>23637.9</v>
      </c>
      <c r="P458" s="352">
        <v>283654.80000000005</v>
      </c>
    </row>
    <row r="459" spans="1:16" ht="13.5" hidden="1" thickBot="1">
      <c r="A459" s="351">
        <f t="shared" ref="A459" si="21">A458+1</f>
        <v>17</v>
      </c>
      <c r="B459" s="380" t="s">
        <v>423</v>
      </c>
      <c r="C459" s="381"/>
      <c r="D459" s="381">
        <v>9152</v>
      </c>
      <c r="E459" s="382">
        <f>1-1</f>
        <v>0</v>
      </c>
      <c r="F459" s="503">
        <v>1</v>
      </c>
      <c r="G459" s="407"/>
      <c r="H459" s="408"/>
      <c r="I459" s="343"/>
      <c r="J459" s="343"/>
      <c r="K459" s="343"/>
      <c r="L459" s="343"/>
      <c r="M459" s="343"/>
      <c r="N459" s="337"/>
      <c r="O459" s="316">
        <f t="shared" si="18"/>
        <v>0</v>
      </c>
      <c r="P459" s="352">
        <v>39000</v>
      </c>
    </row>
    <row r="460" spans="1:16" ht="15.75" thickBot="1">
      <c r="A460" s="850" t="s">
        <v>637</v>
      </c>
      <c r="B460" s="851"/>
      <c r="C460" s="851"/>
      <c r="D460" s="852"/>
      <c r="E460" s="347">
        <f>SUM(E443:E459)</f>
        <v>32</v>
      </c>
      <c r="F460" s="347"/>
      <c r="G460" s="348"/>
      <c r="H460" s="348"/>
      <c r="I460" s="348"/>
      <c r="J460" s="348"/>
      <c r="K460" s="348"/>
      <c r="L460" s="348"/>
      <c r="M460" s="348"/>
      <c r="N460" s="348"/>
      <c r="O460" s="403">
        <f>SUM(O443:O459)</f>
        <v>327781.45</v>
      </c>
      <c r="P460" s="404">
        <v>3621090</v>
      </c>
    </row>
    <row r="461" spans="1:16" ht="15" hidden="1">
      <c r="A461" s="354"/>
      <c r="B461" s="362" t="s">
        <v>632</v>
      </c>
      <c r="C461" s="344"/>
      <c r="D461" s="344"/>
      <c r="E461" s="345">
        <f>E443+E444+E445+E446+E447+E448+E449+E450</f>
        <v>12</v>
      </c>
      <c r="F461" s="345"/>
      <c r="G461" s="345"/>
      <c r="H461" s="345"/>
      <c r="I461" s="345"/>
      <c r="J461" s="345"/>
      <c r="K461" s="345"/>
      <c r="L461" s="345"/>
      <c r="M461" s="345"/>
      <c r="N461" s="345"/>
      <c r="O461" s="345">
        <f>O443+O444+O445+O446+O447+O448+O449+O450</f>
        <v>137173.75</v>
      </c>
      <c r="P461" s="355">
        <v>1531077</v>
      </c>
    </row>
    <row r="462" spans="1:16" ht="15" hidden="1">
      <c r="A462" s="356"/>
      <c r="B462" s="363" t="s">
        <v>633</v>
      </c>
      <c r="C462" s="340"/>
      <c r="D462" s="340"/>
      <c r="E462" s="338">
        <f>E451+E452+E453+E454+E455+E456</f>
        <v>15</v>
      </c>
      <c r="F462" s="338"/>
      <c r="G462" s="338"/>
      <c r="H462" s="338"/>
      <c r="I462" s="338"/>
      <c r="J462" s="338"/>
      <c r="K462" s="338"/>
      <c r="L462" s="338"/>
      <c r="M462" s="338"/>
      <c r="N462" s="338"/>
      <c r="O462" s="338">
        <f>O451+O452+O453+O454+O455+O456</f>
        <v>151317.79999999999</v>
      </c>
      <c r="P462" s="357">
        <v>1579534.2</v>
      </c>
    </row>
    <row r="463" spans="1:16" ht="15" hidden="1">
      <c r="A463" s="356"/>
      <c r="B463" s="363" t="s">
        <v>634</v>
      </c>
      <c r="C463" s="340"/>
      <c r="D463" s="340"/>
      <c r="E463" s="338">
        <v>3</v>
      </c>
      <c r="F463" s="338"/>
      <c r="G463" s="338"/>
      <c r="H463" s="338"/>
      <c r="I463" s="338"/>
      <c r="J463" s="338"/>
      <c r="K463" s="338"/>
      <c r="L463" s="338"/>
      <c r="M463" s="338"/>
      <c r="N463" s="338"/>
      <c r="O463" s="338">
        <v>23637.9</v>
      </c>
      <c r="P463" s="357">
        <v>283654.80000000005</v>
      </c>
    </row>
    <row r="464" spans="1:16" ht="15.75" hidden="1" thickBot="1">
      <c r="A464" s="401"/>
      <c r="B464" s="388" t="s">
        <v>635</v>
      </c>
      <c r="C464" s="387"/>
      <c r="D464" s="387"/>
      <c r="E464" s="389">
        <v>3</v>
      </c>
      <c r="F464" s="389"/>
      <c r="G464" s="389"/>
      <c r="H464" s="389"/>
      <c r="I464" s="389"/>
      <c r="J464" s="389"/>
      <c r="K464" s="389"/>
      <c r="L464" s="389"/>
      <c r="M464" s="389"/>
      <c r="N464" s="389"/>
      <c r="O464" s="389">
        <v>22152</v>
      </c>
      <c r="P464" s="402">
        <v>226824</v>
      </c>
    </row>
    <row r="465" spans="1:16" ht="15.75" thickBot="1">
      <c r="A465" s="853" t="s">
        <v>701</v>
      </c>
      <c r="B465" s="854"/>
      <c r="C465" s="854"/>
      <c r="D465" s="854"/>
      <c r="E465" s="854"/>
      <c r="F465" s="854"/>
      <c r="G465" s="854"/>
      <c r="H465" s="854"/>
      <c r="I465" s="854"/>
      <c r="J465" s="854"/>
      <c r="K465" s="854"/>
      <c r="L465" s="854"/>
      <c r="M465" s="854"/>
      <c r="N465" s="854"/>
      <c r="O465" s="854"/>
      <c r="P465" s="855"/>
    </row>
    <row r="466" spans="1:16">
      <c r="A466" s="349">
        <v>1</v>
      </c>
      <c r="B466" s="314" t="s">
        <v>505</v>
      </c>
      <c r="C466" s="315"/>
      <c r="D466" s="315" t="s">
        <v>629</v>
      </c>
      <c r="E466" s="316">
        <v>1</v>
      </c>
      <c r="F466" s="503">
        <v>1.91</v>
      </c>
      <c r="G466" s="409">
        <v>12415</v>
      </c>
      <c r="H466" s="409"/>
      <c r="I466" s="316"/>
      <c r="J466" s="445" t="s">
        <v>667</v>
      </c>
      <c r="K466" s="409">
        <v>5586.75</v>
      </c>
      <c r="L466" s="409"/>
      <c r="M466" s="316"/>
      <c r="N466" s="337">
        <v>18001.75</v>
      </c>
      <c r="O466" s="316">
        <f>N466*E466</f>
        <v>18001.75</v>
      </c>
      <c r="P466" s="350">
        <v>216021</v>
      </c>
    </row>
    <row r="467" spans="1:16">
      <c r="A467" s="351">
        <v>2</v>
      </c>
      <c r="B467" s="318" t="s">
        <v>685</v>
      </c>
      <c r="C467" s="324" t="s">
        <v>559</v>
      </c>
      <c r="D467" s="324" t="s">
        <v>666</v>
      </c>
      <c r="E467" s="451">
        <f>4.5+1-2</f>
        <v>3.5</v>
      </c>
      <c r="F467" s="469">
        <v>1.7331000000000001</v>
      </c>
      <c r="G467" s="453">
        <v>11265</v>
      </c>
      <c r="H467" s="407"/>
      <c r="I467" s="317"/>
      <c r="J467" s="424"/>
      <c r="K467" s="317"/>
      <c r="L467" s="317"/>
      <c r="M467" s="317"/>
      <c r="N467" s="337">
        <v>11265</v>
      </c>
      <c r="O467" s="316">
        <f>N467*E467</f>
        <v>39427.5</v>
      </c>
      <c r="P467" s="352">
        <v>473130</v>
      </c>
    </row>
    <row r="468" spans="1:16">
      <c r="A468" s="351">
        <v>3</v>
      </c>
      <c r="B468" s="318" t="s">
        <v>685</v>
      </c>
      <c r="C468" s="324" t="s">
        <v>673</v>
      </c>
      <c r="D468" s="324" t="s">
        <v>666</v>
      </c>
      <c r="E468" s="451">
        <v>1</v>
      </c>
      <c r="F468" s="469">
        <v>1.6684000000000001</v>
      </c>
      <c r="G468" s="453">
        <v>10845</v>
      </c>
      <c r="H468" s="407"/>
      <c r="I468" s="317"/>
      <c r="J468" s="424"/>
      <c r="K468" s="317"/>
      <c r="L468" s="317"/>
      <c r="M468" s="317"/>
      <c r="N468" s="337">
        <v>10845</v>
      </c>
      <c r="O468" s="316">
        <f t="shared" ref="O468:O480" si="22">N468*E468</f>
        <v>10845</v>
      </c>
      <c r="P468" s="352">
        <v>130140</v>
      </c>
    </row>
    <row r="469" spans="1:16">
      <c r="A469" s="351">
        <v>4</v>
      </c>
      <c r="B469" s="318" t="s">
        <v>685</v>
      </c>
      <c r="C469" s="324" t="s">
        <v>560</v>
      </c>
      <c r="D469" s="324" t="s">
        <v>666</v>
      </c>
      <c r="E469" s="451">
        <v>1</v>
      </c>
      <c r="F469" s="469">
        <v>1.6036999999999999</v>
      </c>
      <c r="G469" s="453">
        <v>10424</v>
      </c>
      <c r="H469" s="407"/>
      <c r="I469" s="317"/>
      <c r="J469" s="424"/>
      <c r="K469" s="317"/>
      <c r="L469" s="317"/>
      <c r="M469" s="317"/>
      <c r="N469" s="337">
        <v>10424</v>
      </c>
      <c r="O469" s="316">
        <f t="shared" si="22"/>
        <v>10424</v>
      </c>
      <c r="P469" s="352">
        <v>125088</v>
      </c>
    </row>
    <row r="470" spans="1:16">
      <c r="A470" s="351">
        <v>5</v>
      </c>
      <c r="B470" s="318" t="s">
        <v>685</v>
      </c>
      <c r="C470" s="320"/>
      <c r="D470" s="324" t="s">
        <v>666</v>
      </c>
      <c r="E470" s="451">
        <f>2-1</f>
        <v>1</v>
      </c>
      <c r="F470" s="469">
        <v>1.5389999999999999</v>
      </c>
      <c r="G470" s="453">
        <v>10004</v>
      </c>
      <c r="H470" s="407"/>
      <c r="I470" s="317"/>
      <c r="J470" s="424"/>
      <c r="K470" s="317"/>
      <c r="L470" s="317"/>
      <c r="M470" s="317"/>
      <c r="N470" s="337">
        <v>10004</v>
      </c>
      <c r="O470" s="316">
        <f t="shared" si="22"/>
        <v>10004</v>
      </c>
      <c r="P470" s="352">
        <v>240096</v>
      </c>
    </row>
    <row r="471" spans="1:16">
      <c r="A471" s="351">
        <v>6</v>
      </c>
      <c r="B471" s="318" t="s">
        <v>558</v>
      </c>
      <c r="C471" s="320"/>
      <c r="D471" s="324">
        <v>3231</v>
      </c>
      <c r="E471" s="451">
        <v>1</v>
      </c>
      <c r="F471" s="455">
        <v>1.4590000000000001</v>
      </c>
      <c r="G471" s="453">
        <v>9484</v>
      </c>
      <c r="H471" s="407"/>
      <c r="I471" s="317"/>
      <c r="J471" s="424" t="s">
        <v>678</v>
      </c>
      <c r="K471" s="317">
        <f>G471*J471</f>
        <v>4742</v>
      </c>
      <c r="L471" s="317"/>
      <c r="M471" s="317"/>
      <c r="N471" s="337">
        <f>G471+K471</f>
        <v>14226</v>
      </c>
      <c r="O471" s="316">
        <f t="shared" si="22"/>
        <v>14226</v>
      </c>
      <c r="P471" s="352">
        <v>170712</v>
      </c>
    </row>
    <row r="472" spans="1:16">
      <c r="A472" s="351">
        <v>7</v>
      </c>
      <c r="B472" s="318" t="s">
        <v>676</v>
      </c>
      <c r="C472" s="320" t="s">
        <v>559</v>
      </c>
      <c r="D472" s="324">
        <v>3231</v>
      </c>
      <c r="E472" s="451">
        <v>1</v>
      </c>
      <c r="F472" s="455">
        <v>1.4590000000000001</v>
      </c>
      <c r="G472" s="453">
        <v>9484</v>
      </c>
      <c r="H472" s="407"/>
      <c r="I472" s="317"/>
      <c r="J472" s="424"/>
      <c r="K472" s="317"/>
      <c r="L472" s="317"/>
      <c r="M472" s="317"/>
      <c r="N472" s="337">
        <v>9484</v>
      </c>
      <c r="O472" s="316">
        <f t="shared" si="22"/>
        <v>9484</v>
      </c>
      <c r="P472" s="352">
        <v>227616</v>
      </c>
    </row>
    <row r="473" spans="1:16">
      <c r="A473" s="351">
        <v>8</v>
      </c>
      <c r="B473" s="318" t="s">
        <v>676</v>
      </c>
      <c r="C473" s="320" t="s">
        <v>673</v>
      </c>
      <c r="D473" s="324">
        <v>3231</v>
      </c>
      <c r="E473" s="451">
        <v>4</v>
      </c>
      <c r="F473" s="455">
        <v>1.4079999999999999</v>
      </c>
      <c r="G473" s="453">
        <v>9152</v>
      </c>
      <c r="H473" s="407"/>
      <c r="I473" s="317"/>
      <c r="J473" s="424"/>
      <c r="K473" s="317"/>
      <c r="L473" s="317"/>
      <c r="M473" s="317"/>
      <c r="N473" s="337">
        <v>9152</v>
      </c>
      <c r="O473" s="316">
        <f t="shared" si="22"/>
        <v>36608</v>
      </c>
      <c r="P473" s="352">
        <v>439296</v>
      </c>
    </row>
    <row r="474" spans="1:16">
      <c r="A474" s="351">
        <v>9</v>
      </c>
      <c r="B474" s="318" t="s">
        <v>676</v>
      </c>
      <c r="C474" s="320"/>
      <c r="D474" s="324">
        <v>3231</v>
      </c>
      <c r="E474" s="451">
        <f>1.5-1</f>
        <v>0.5</v>
      </c>
      <c r="F474" s="455">
        <v>1.306</v>
      </c>
      <c r="G474" s="453">
        <v>8489</v>
      </c>
      <c r="H474" s="407"/>
      <c r="I474" s="317"/>
      <c r="J474" s="424"/>
      <c r="K474" s="317"/>
      <c r="L474" s="317"/>
      <c r="M474" s="317"/>
      <c r="N474" s="337">
        <v>8489</v>
      </c>
      <c r="O474" s="316">
        <f t="shared" si="22"/>
        <v>4244.5</v>
      </c>
      <c r="P474" s="352">
        <v>50934</v>
      </c>
    </row>
    <row r="475" spans="1:16">
      <c r="A475" s="351">
        <v>10</v>
      </c>
      <c r="B475" s="318" t="s">
        <v>681</v>
      </c>
      <c r="C475" s="324" t="s">
        <v>559</v>
      </c>
      <c r="D475" s="324">
        <v>3231</v>
      </c>
      <c r="E475" s="451">
        <v>1</v>
      </c>
      <c r="F475" s="455">
        <v>1.4590000000000001</v>
      </c>
      <c r="G475" s="453">
        <v>9484</v>
      </c>
      <c r="H475" s="428" t="s">
        <v>682</v>
      </c>
      <c r="I475" s="317">
        <v>1896.8000000000002</v>
      </c>
      <c r="J475" s="424"/>
      <c r="K475" s="317"/>
      <c r="L475" s="424" t="s">
        <v>648</v>
      </c>
      <c r="M475" s="317">
        <v>948.40000000000009</v>
      </c>
      <c r="N475" s="337">
        <v>12329.199999999999</v>
      </c>
      <c r="O475" s="316">
        <f t="shared" si="22"/>
        <v>12329.199999999999</v>
      </c>
      <c r="P475" s="352">
        <v>147950.39999999999</v>
      </c>
    </row>
    <row r="476" spans="1:16">
      <c r="A476" s="351">
        <v>11</v>
      </c>
      <c r="B476" s="318" t="s">
        <v>681</v>
      </c>
      <c r="C476" s="324" t="s">
        <v>739</v>
      </c>
      <c r="D476" s="324">
        <v>3231</v>
      </c>
      <c r="E476" s="451">
        <v>1</v>
      </c>
      <c r="F476" s="455">
        <v>1.357</v>
      </c>
      <c r="G476" s="453">
        <v>8821</v>
      </c>
      <c r="H476" s="428" t="s">
        <v>682</v>
      </c>
      <c r="I476" s="317">
        <f>G476*H476</f>
        <v>1764.2</v>
      </c>
      <c r="J476" s="424"/>
      <c r="K476" s="317"/>
      <c r="L476" s="424" t="s">
        <v>648</v>
      </c>
      <c r="M476" s="317">
        <f>G476*L476</f>
        <v>882.1</v>
      </c>
      <c r="N476" s="337">
        <f>M476+I476+G476</f>
        <v>11467.3</v>
      </c>
      <c r="O476" s="316">
        <f t="shared" si="22"/>
        <v>11467.3</v>
      </c>
      <c r="P476" s="352">
        <v>132428.4</v>
      </c>
    </row>
    <row r="477" spans="1:16">
      <c r="A477" s="351">
        <v>12</v>
      </c>
      <c r="B477" s="318" t="s">
        <v>700</v>
      </c>
      <c r="C477" s="324" t="s">
        <v>559</v>
      </c>
      <c r="D477" s="324">
        <v>3231</v>
      </c>
      <c r="E477" s="451">
        <v>1</v>
      </c>
      <c r="F477" s="455">
        <v>1.4590000000000001</v>
      </c>
      <c r="G477" s="453">
        <v>9484</v>
      </c>
      <c r="H477" s="428"/>
      <c r="I477" s="317"/>
      <c r="J477" s="424"/>
      <c r="K477" s="317"/>
      <c r="L477" s="424"/>
      <c r="M477" s="317"/>
      <c r="N477" s="337">
        <f>M477+I477+G477</f>
        <v>9484</v>
      </c>
      <c r="O477" s="316">
        <f t="shared" si="22"/>
        <v>9484</v>
      </c>
      <c r="P477" s="352"/>
    </row>
    <row r="478" spans="1:16">
      <c r="A478" s="351">
        <v>13</v>
      </c>
      <c r="B478" s="318" t="s">
        <v>417</v>
      </c>
      <c r="C478" s="320"/>
      <c r="D478" s="324">
        <v>3231</v>
      </c>
      <c r="E478" s="451">
        <v>1</v>
      </c>
      <c r="F478" s="455">
        <v>1.2549999999999999</v>
      </c>
      <c r="G478" s="454">
        <v>8158</v>
      </c>
      <c r="H478" s="317"/>
      <c r="I478" s="317"/>
      <c r="J478" s="424"/>
      <c r="K478" s="317"/>
      <c r="L478" s="317"/>
      <c r="M478" s="317"/>
      <c r="N478" s="337">
        <v>8158</v>
      </c>
      <c r="O478" s="316">
        <f t="shared" si="22"/>
        <v>8158</v>
      </c>
      <c r="P478" s="352">
        <v>97896</v>
      </c>
    </row>
    <row r="479" spans="1:16">
      <c r="A479" s="351">
        <v>14</v>
      </c>
      <c r="B479" s="318" t="s">
        <v>508</v>
      </c>
      <c r="C479" s="320"/>
      <c r="D479" s="324">
        <v>4222</v>
      </c>
      <c r="E479" s="451">
        <v>2</v>
      </c>
      <c r="F479" s="455">
        <v>1.204</v>
      </c>
      <c r="G479" s="454">
        <v>7826</v>
      </c>
      <c r="H479" s="317"/>
      <c r="I479" s="317"/>
      <c r="J479" s="424"/>
      <c r="K479" s="317"/>
      <c r="L479" s="317"/>
      <c r="M479" s="317"/>
      <c r="N479" s="337">
        <v>7826</v>
      </c>
      <c r="O479" s="316">
        <f t="shared" si="22"/>
        <v>15652</v>
      </c>
      <c r="P479" s="352">
        <v>187824</v>
      </c>
    </row>
    <row r="480" spans="1:16" ht="13.5" thickBot="1">
      <c r="A480" s="351">
        <v>15</v>
      </c>
      <c r="B480" s="341" t="s">
        <v>647</v>
      </c>
      <c r="C480" s="342"/>
      <c r="D480" s="342">
        <v>5132</v>
      </c>
      <c r="E480" s="343">
        <v>2</v>
      </c>
      <c r="F480" s="503">
        <v>1.1020000000000001</v>
      </c>
      <c r="G480" s="317">
        <v>7163</v>
      </c>
      <c r="H480" s="343"/>
      <c r="I480" s="343"/>
      <c r="J480" s="429"/>
      <c r="K480" s="343"/>
      <c r="L480" s="424" t="s">
        <v>648</v>
      </c>
      <c r="M480" s="343">
        <v>716.30000000000007</v>
      </c>
      <c r="N480" s="337">
        <v>7879.3</v>
      </c>
      <c r="O480" s="316">
        <f t="shared" si="22"/>
        <v>15758.6</v>
      </c>
      <c r="P480" s="353">
        <v>189103.2</v>
      </c>
    </row>
    <row r="481" spans="1:16" ht="15.75" thickBot="1">
      <c r="A481" s="850" t="s">
        <v>637</v>
      </c>
      <c r="B481" s="851"/>
      <c r="C481" s="851"/>
      <c r="D481" s="852"/>
      <c r="E481" s="347">
        <f>SUM(E466:E480)</f>
        <v>22</v>
      </c>
      <c r="F481" s="347"/>
      <c r="G481" s="348"/>
      <c r="H481" s="348"/>
      <c r="I481" s="348"/>
      <c r="J481" s="348"/>
      <c r="K481" s="348"/>
      <c r="L481" s="348"/>
      <c r="M481" s="348"/>
      <c r="N481" s="348"/>
      <c r="O481" s="403">
        <f>SUM(O466:O480)</f>
        <v>226113.85</v>
      </c>
      <c r="P481" s="404">
        <v>2828235</v>
      </c>
    </row>
    <row r="482" spans="1:16" ht="15" hidden="1">
      <c r="A482" s="354"/>
      <c r="B482" s="362" t="s">
        <v>632</v>
      </c>
      <c r="C482" s="344"/>
      <c r="D482" s="344"/>
      <c r="E482" s="345">
        <f>E466+E467+E468+E469+E470</f>
        <v>7.5</v>
      </c>
      <c r="F482" s="345"/>
      <c r="G482" s="345"/>
      <c r="H482" s="345"/>
      <c r="I482" s="345"/>
      <c r="J482" s="345"/>
      <c r="K482" s="345">
        <v>5586.75</v>
      </c>
      <c r="L482" s="345"/>
      <c r="M482" s="345"/>
      <c r="N482" s="345"/>
      <c r="O482" s="345">
        <f>O466+O467+O468+O469+O470</f>
        <v>88702.25</v>
      </c>
      <c r="P482" s="355">
        <v>1184475</v>
      </c>
    </row>
    <row r="483" spans="1:16" ht="15" hidden="1">
      <c r="A483" s="356"/>
      <c r="B483" s="363" t="s">
        <v>633</v>
      </c>
      <c r="C483" s="340"/>
      <c r="D483" s="340"/>
      <c r="E483" s="338">
        <v>10.5</v>
      </c>
      <c r="F483" s="338"/>
      <c r="G483" s="338"/>
      <c r="H483" s="338"/>
      <c r="I483" s="338">
        <v>3594.6000000000004</v>
      </c>
      <c r="J483" s="338"/>
      <c r="K483" s="338">
        <v>4742</v>
      </c>
      <c r="L483" s="338"/>
      <c r="M483" s="338">
        <v>1797.3000000000002</v>
      </c>
      <c r="N483" s="338"/>
      <c r="O483" s="338">
        <f>O471+O472+O473+O474+O475+O476+O477+O478</f>
        <v>106001</v>
      </c>
      <c r="P483" s="357">
        <v>1266832.8</v>
      </c>
    </row>
    <row r="484" spans="1:16" ht="15" hidden="1">
      <c r="A484" s="356"/>
      <c r="B484" s="363" t="s">
        <v>634</v>
      </c>
      <c r="C484" s="340"/>
      <c r="D484" s="340"/>
      <c r="E484" s="338">
        <v>2</v>
      </c>
      <c r="F484" s="338"/>
      <c r="G484" s="338"/>
      <c r="H484" s="338"/>
      <c r="I484" s="338"/>
      <c r="J484" s="338"/>
      <c r="K484" s="338"/>
      <c r="L484" s="338"/>
      <c r="M484" s="338">
        <v>716.30000000000007</v>
      </c>
      <c r="N484" s="338"/>
      <c r="O484" s="338">
        <v>15758.6</v>
      </c>
      <c r="P484" s="357">
        <v>189103.2</v>
      </c>
    </row>
    <row r="485" spans="1:16" ht="15.75" hidden="1" thickBot="1">
      <c r="A485" s="401"/>
      <c r="B485" s="388" t="s">
        <v>635</v>
      </c>
      <c r="C485" s="387"/>
      <c r="D485" s="387"/>
      <c r="E485" s="389">
        <v>2</v>
      </c>
      <c r="F485" s="389"/>
      <c r="G485" s="389"/>
      <c r="H485" s="389"/>
      <c r="I485" s="389"/>
      <c r="J485" s="389"/>
      <c r="K485" s="389"/>
      <c r="L485" s="389"/>
      <c r="M485" s="389"/>
      <c r="N485" s="389"/>
      <c r="O485" s="389">
        <v>15652</v>
      </c>
      <c r="P485" s="402">
        <v>187824</v>
      </c>
    </row>
    <row r="486" spans="1:16" ht="15.75" thickBot="1">
      <c r="A486" s="872" t="s">
        <v>702</v>
      </c>
      <c r="B486" s="858"/>
      <c r="C486" s="858"/>
      <c r="D486" s="858"/>
      <c r="E486" s="858"/>
      <c r="F486" s="858"/>
      <c r="G486" s="858"/>
      <c r="H486" s="858"/>
      <c r="I486" s="858"/>
      <c r="J486" s="858"/>
      <c r="K486" s="858"/>
      <c r="L486" s="858"/>
      <c r="M486" s="858"/>
      <c r="N486" s="858"/>
      <c r="O486" s="858"/>
      <c r="P486" s="859"/>
    </row>
    <row r="487" spans="1:16">
      <c r="A487" s="349">
        <v>1</v>
      </c>
      <c r="B487" s="314" t="s">
        <v>505</v>
      </c>
      <c r="C487" s="315"/>
      <c r="D487" s="315" t="s">
        <v>629</v>
      </c>
      <c r="E487" s="316">
        <v>1</v>
      </c>
      <c r="F487" s="503">
        <v>1.91</v>
      </c>
      <c r="G487" s="409">
        <v>12415</v>
      </c>
      <c r="H487" s="409"/>
      <c r="I487" s="316"/>
      <c r="J487" s="445" t="s">
        <v>703</v>
      </c>
      <c r="K487" s="409">
        <v>4966</v>
      </c>
      <c r="L487" s="409"/>
      <c r="M487" s="316"/>
      <c r="N487" s="337">
        <v>17381</v>
      </c>
      <c r="O487" s="316">
        <f>N487*E487</f>
        <v>17381</v>
      </c>
      <c r="P487" s="350">
        <v>208572</v>
      </c>
    </row>
    <row r="488" spans="1:16">
      <c r="A488" s="351">
        <v>2</v>
      </c>
      <c r="B488" s="318" t="s">
        <v>685</v>
      </c>
      <c r="C488" s="320" t="s">
        <v>673</v>
      </c>
      <c r="D488" s="324" t="s">
        <v>666</v>
      </c>
      <c r="E488" s="451">
        <v>1.5</v>
      </c>
      <c r="F488" s="469">
        <v>1.6684000000000001</v>
      </c>
      <c r="G488" s="453">
        <v>10845</v>
      </c>
      <c r="H488" s="407"/>
      <c r="I488" s="317"/>
      <c r="J488" s="424"/>
      <c r="K488" s="317"/>
      <c r="L488" s="317"/>
      <c r="M488" s="317"/>
      <c r="N488" s="337">
        <v>10845</v>
      </c>
      <c r="O488" s="316">
        <f t="shared" ref="O488:O497" si="23">N488*E488</f>
        <v>16267.5</v>
      </c>
      <c r="P488" s="352">
        <v>195210</v>
      </c>
    </row>
    <row r="489" spans="1:16">
      <c r="A489" s="351">
        <v>3</v>
      </c>
      <c r="B489" s="318" t="s">
        <v>685</v>
      </c>
      <c r="C489" s="320"/>
      <c r="D489" s="324" t="s">
        <v>666</v>
      </c>
      <c r="E489" s="451">
        <v>1</v>
      </c>
      <c r="F489" s="455">
        <v>1.5389999999999999</v>
      </c>
      <c r="G489" s="453">
        <v>10004</v>
      </c>
      <c r="H489" s="407"/>
      <c r="I489" s="317"/>
      <c r="J489" s="424"/>
      <c r="K489" s="317"/>
      <c r="L489" s="317"/>
      <c r="M489" s="317"/>
      <c r="N489" s="337">
        <v>10004</v>
      </c>
      <c r="O489" s="316">
        <f t="shared" si="23"/>
        <v>10004</v>
      </c>
      <c r="P489" s="352">
        <v>120048</v>
      </c>
    </row>
    <row r="490" spans="1:16">
      <c r="A490" s="351">
        <v>4</v>
      </c>
      <c r="B490" s="318" t="s">
        <v>672</v>
      </c>
      <c r="C490" s="320" t="s">
        <v>673</v>
      </c>
      <c r="D490" s="324" t="s">
        <v>666</v>
      </c>
      <c r="E490" s="451">
        <v>1</v>
      </c>
      <c r="F490" s="469">
        <v>1.6684000000000001</v>
      </c>
      <c r="G490" s="453">
        <v>10845</v>
      </c>
      <c r="H490" s="407"/>
      <c r="I490" s="317"/>
      <c r="J490" s="424"/>
      <c r="K490" s="317"/>
      <c r="L490" s="317"/>
      <c r="M490" s="317"/>
      <c r="N490" s="337">
        <v>10845</v>
      </c>
      <c r="O490" s="316">
        <f t="shared" si="23"/>
        <v>10845</v>
      </c>
      <c r="P490" s="352">
        <v>130140</v>
      </c>
    </row>
    <row r="491" spans="1:16">
      <c r="A491" s="351">
        <v>5</v>
      </c>
      <c r="B491" s="318" t="s">
        <v>672</v>
      </c>
      <c r="C491" s="323"/>
      <c r="D491" s="324" t="s">
        <v>666</v>
      </c>
      <c r="E491" s="451">
        <v>1</v>
      </c>
      <c r="F491" s="455">
        <v>1.5389999999999999</v>
      </c>
      <c r="G491" s="453">
        <v>10004</v>
      </c>
      <c r="H491" s="407"/>
      <c r="I491" s="317"/>
      <c r="J491" s="424"/>
      <c r="K491" s="317"/>
      <c r="L491" s="317"/>
      <c r="M491" s="317"/>
      <c r="N491" s="337">
        <v>10004</v>
      </c>
      <c r="O491" s="316">
        <f t="shared" si="23"/>
        <v>10004</v>
      </c>
      <c r="P491" s="352">
        <v>120048</v>
      </c>
    </row>
    <row r="492" spans="1:16">
      <c r="A492" s="351">
        <f t="shared" ref="A492:A497" si="24">A491+1</f>
        <v>6</v>
      </c>
      <c r="B492" s="318" t="s">
        <v>558</v>
      </c>
      <c r="C492" s="323"/>
      <c r="D492" s="324">
        <v>3231</v>
      </c>
      <c r="E492" s="451">
        <v>1</v>
      </c>
      <c r="F492" s="455">
        <v>1.4590000000000001</v>
      </c>
      <c r="G492" s="453">
        <v>9484</v>
      </c>
      <c r="H492" s="407"/>
      <c r="I492" s="317"/>
      <c r="J492" s="424" t="s">
        <v>667</v>
      </c>
      <c r="K492" s="317">
        <v>4267.8</v>
      </c>
      <c r="L492" s="317"/>
      <c r="M492" s="317"/>
      <c r="N492" s="337">
        <v>13751.8</v>
      </c>
      <c r="O492" s="316">
        <f t="shared" si="23"/>
        <v>13751.8</v>
      </c>
      <c r="P492" s="352">
        <v>165021.59999999998</v>
      </c>
    </row>
    <row r="493" spans="1:16">
      <c r="A493" s="351">
        <f t="shared" si="24"/>
        <v>7</v>
      </c>
      <c r="B493" s="318" t="s">
        <v>676</v>
      </c>
      <c r="C493" s="324" t="s">
        <v>559</v>
      </c>
      <c r="D493" s="324">
        <v>3231</v>
      </c>
      <c r="E493" s="451">
        <v>3</v>
      </c>
      <c r="F493" s="455">
        <v>1.4590000000000001</v>
      </c>
      <c r="G493" s="453">
        <v>9484</v>
      </c>
      <c r="H493" s="407"/>
      <c r="I493" s="317"/>
      <c r="J493" s="424"/>
      <c r="K493" s="317"/>
      <c r="L493" s="317"/>
      <c r="M493" s="317"/>
      <c r="N493" s="337">
        <v>9484</v>
      </c>
      <c r="O493" s="316">
        <f t="shared" si="23"/>
        <v>28452</v>
      </c>
      <c r="P493" s="352">
        <v>341424</v>
      </c>
    </row>
    <row r="494" spans="1:16">
      <c r="A494" s="351">
        <f t="shared" si="24"/>
        <v>8</v>
      </c>
      <c r="B494" s="318" t="s">
        <v>676</v>
      </c>
      <c r="C494" s="324"/>
      <c r="D494" s="324">
        <v>3231</v>
      </c>
      <c r="E494" s="451">
        <v>1</v>
      </c>
      <c r="F494" s="455">
        <v>1.306</v>
      </c>
      <c r="G494" s="453">
        <v>8489</v>
      </c>
      <c r="H494" s="407"/>
      <c r="I494" s="317"/>
      <c r="J494" s="424"/>
      <c r="K494" s="317"/>
      <c r="L494" s="317"/>
      <c r="M494" s="317"/>
      <c r="N494" s="337">
        <v>8489</v>
      </c>
      <c r="O494" s="316">
        <f t="shared" si="23"/>
        <v>8489</v>
      </c>
      <c r="P494" s="352">
        <v>101868</v>
      </c>
    </row>
    <row r="495" spans="1:16">
      <c r="A495" s="351">
        <f t="shared" si="24"/>
        <v>9</v>
      </c>
      <c r="B495" s="318" t="s">
        <v>681</v>
      </c>
      <c r="C495" s="320" t="s">
        <v>560</v>
      </c>
      <c r="D495" s="324">
        <v>3231</v>
      </c>
      <c r="E495" s="451">
        <v>1</v>
      </c>
      <c r="F495" s="455">
        <v>1.357</v>
      </c>
      <c r="G495" s="453">
        <v>8821</v>
      </c>
      <c r="H495" s="428" t="s">
        <v>682</v>
      </c>
      <c r="I495" s="317">
        <v>1764.2</v>
      </c>
      <c r="J495" s="424"/>
      <c r="K495" s="317"/>
      <c r="L495" s="424" t="s">
        <v>648</v>
      </c>
      <c r="M495" s="317">
        <v>882.1</v>
      </c>
      <c r="N495" s="337">
        <v>11467.300000000001</v>
      </c>
      <c r="O495" s="316">
        <f t="shared" si="23"/>
        <v>11467.300000000001</v>
      </c>
      <c r="P495" s="352">
        <v>137607.6</v>
      </c>
    </row>
    <row r="496" spans="1:16">
      <c r="A496" s="351">
        <f t="shared" si="24"/>
        <v>10</v>
      </c>
      <c r="B496" s="318" t="s">
        <v>508</v>
      </c>
      <c r="C496" s="320"/>
      <c r="D496" s="324">
        <v>4222</v>
      </c>
      <c r="E496" s="451">
        <v>2</v>
      </c>
      <c r="F496" s="455">
        <v>1.204</v>
      </c>
      <c r="G496" s="453">
        <v>7826</v>
      </c>
      <c r="H496" s="407"/>
      <c r="I496" s="317"/>
      <c r="J496" s="424"/>
      <c r="K496" s="317"/>
      <c r="L496" s="317"/>
      <c r="M496" s="317"/>
      <c r="N496" s="337">
        <v>7826</v>
      </c>
      <c r="O496" s="316">
        <f t="shared" si="23"/>
        <v>15652</v>
      </c>
      <c r="P496" s="352">
        <v>187824</v>
      </c>
    </row>
    <row r="497" spans="1:18" ht="13.5" thickBot="1">
      <c r="A497" s="351">
        <f t="shared" si="24"/>
        <v>11</v>
      </c>
      <c r="B497" s="341" t="s">
        <v>647</v>
      </c>
      <c r="C497" s="342"/>
      <c r="D497" s="342">
        <v>5132</v>
      </c>
      <c r="E497" s="343">
        <v>2</v>
      </c>
      <c r="F497" s="503">
        <v>1.1020000000000001</v>
      </c>
      <c r="G497" s="407">
        <v>7163</v>
      </c>
      <c r="H497" s="408"/>
      <c r="I497" s="343"/>
      <c r="J497" s="429"/>
      <c r="K497" s="343"/>
      <c r="L497" s="424" t="s">
        <v>648</v>
      </c>
      <c r="M497" s="343">
        <v>716.3</v>
      </c>
      <c r="N497" s="337">
        <v>7879.3</v>
      </c>
      <c r="O497" s="316">
        <f t="shared" si="23"/>
        <v>15758.6</v>
      </c>
      <c r="P497" s="353">
        <v>189103.2</v>
      </c>
    </row>
    <row r="498" spans="1:18" ht="15.75" thickBot="1">
      <c r="A498" s="850" t="s">
        <v>637</v>
      </c>
      <c r="B498" s="851"/>
      <c r="C498" s="851"/>
      <c r="D498" s="852"/>
      <c r="E498" s="347">
        <f>SUM(E487:E497)</f>
        <v>15.5</v>
      </c>
      <c r="F498" s="347"/>
      <c r="G498" s="348"/>
      <c r="H498" s="348"/>
      <c r="I498" s="348"/>
      <c r="J498" s="348"/>
      <c r="K498" s="348"/>
      <c r="L498" s="348"/>
      <c r="M498" s="348"/>
      <c r="N498" s="348"/>
      <c r="O498" s="403">
        <f>SUM(O487:O497)</f>
        <v>158072.20000000001</v>
      </c>
      <c r="P498" s="404">
        <v>2010674.4000000001</v>
      </c>
    </row>
    <row r="499" spans="1:18" ht="15" hidden="1">
      <c r="A499" s="354"/>
      <c r="B499" s="362" t="s">
        <v>632</v>
      </c>
      <c r="C499" s="344"/>
      <c r="D499" s="344"/>
      <c r="E499" s="345">
        <f>E487+E488+E489+E490+E491</f>
        <v>5.5</v>
      </c>
      <c r="F499" s="345"/>
      <c r="G499" s="345"/>
      <c r="H499" s="345"/>
      <c r="I499" s="345"/>
      <c r="J499" s="345"/>
      <c r="K499" s="345"/>
      <c r="L499" s="345"/>
      <c r="M499" s="345"/>
      <c r="N499" s="345"/>
      <c r="O499" s="345">
        <f>O487+O488+O489+O490+O491</f>
        <v>64501.5</v>
      </c>
      <c r="P499" s="355">
        <v>774018</v>
      </c>
    </row>
    <row r="500" spans="1:18" ht="15" hidden="1">
      <c r="A500" s="356"/>
      <c r="B500" s="363" t="s">
        <v>633</v>
      </c>
      <c r="C500" s="340"/>
      <c r="D500" s="340"/>
      <c r="E500" s="338">
        <f>E492+E493+E494+E495</f>
        <v>6</v>
      </c>
      <c r="F500" s="338"/>
      <c r="G500" s="338"/>
      <c r="H500" s="338"/>
      <c r="I500" s="338"/>
      <c r="J500" s="338"/>
      <c r="K500" s="338"/>
      <c r="L500" s="338"/>
      <c r="M500" s="338"/>
      <c r="N500" s="338"/>
      <c r="O500" s="338">
        <f>O492+O493+O494+O495</f>
        <v>62160.100000000006</v>
      </c>
      <c r="P500" s="357">
        <v>745921.2</v>
      </c>
    </row>
    <row r="501" spans="1:18" ht="15" hidden="1">
      <c r="A501" s="356"/>
      <c r="B501" s="363" t="s">
        <v>634</v>
      </c>
      <c r="C501" s="340"/>
      <c r="D501" s="340"/>
      <c r="E501" s="338">
        <v>2</v>
      </c>
      <c r="F501" s="338"/>
      <c r="G501" s="338"/>
      <c r="H501" s="338"/>
      <c r="I501" s="338"/>
      <c r="J501" s="338"/>
      <c r="K501" s="338"/>
      <c r="L501" s="338"/>
      <c r="M501" s="338"/>
      <c r="N501" s="338"/>
      <c r="O501" s="338">
        <v>15758.6</v>
      </c>
      <c r="P501" s="357">
        <v>189103.2</v>
      </c>
    </row>
    <row r="502" spans="1:18" ht="15.75" hidden="1" thickBot="1">
      <c r="A502" s="401"/>
      <c r="B502" s="388" t="s">
        <v>635</v>
      </c>
      <c r="C502" s="387"/>
      <c r="D502" s="387"/>
      <c r="E502" s="389">
        <v>2</v>
      </c>
      <c r="F502" s="389"/>
      <c r="G502" s="389"/>
      <c r="H502" s="389"/>
      <c r="I502" s="389"/>
      <c r="J502" s="389"/>
      <c r="K502" s="389"/>
      <c r="L502" s="389"/>
      <c r="M502" s="389"/>
      <c r="N502" s="389"/>
      <c r="O502" s="389">
        <v>15652</v>
      </c>
      <c r="P502" s="402">
        <v>187824</v>
      </c>
    </row>
    <row r="503" spans="1:18" ht="15.75" thickBot="1">
      <c r="A503" s="873" t="s">
        <v>704</v>
      </c>
      <c r="B503" s="874"/>
      <c r="C503" s="874"/>
      <c r="D503" s="875"/>
      <c r="E503" s="515">
        <f>E498+E481+E460+E437+E419+E398+E376+E359+E334+E314+E295+E276+E256+E239+E222+E201+E182+E164++E147+E130+E121+E103+E90+E81+E73+E56+E48+E40+E32+E23+E139</f>
        <v>565</v>
      </c>
      <c r="F503" s="457"/>
      <c r="G503" s="876"/>
      <c r="H503" s="877"/>
      <c r="I503" s="878"/>
      <c r="J503" s="878"/>
      <c r="K503" s="878"/>
      <c r="L503" s="878"/>
      <c r="M503" s="879"/>
      <c r="N503" s="479"/>
      <c r="O503" s="515">
        <f>O498+O481+O460+O437+O419+O398+O376+O359+O334+O314+O295+O276+O256+O239+O222+O201+O182+O164+O147+O139+O130+O121+O103+O90+O81+O73+O56+O48+O40+O32+O23</f>
        <v>5669754.7999999998</v>
      </c>
      <c r="P503" s="390" t="e">
        <v>#REF!</v>
      </c>
      <c r="R503" s="167"/>
    </row>
    <row r="504" spans="1:18" ht="15.75" hidden="1">
      <c r="A504" s="354"/>
      <c r="B504" s="383" t="s">
        <v>632</v>
      </c>
      <c r="C504" s="344"/>
      <c r="D504" s="344"/>
      <c r="E504" s="345"/>
      <c r="F504" s="345"/>
      <c r="G504" s="345"/>
      <c r="H504" s="345"/>
      <c r="I504" s="345"/>
      <c r="J504" s="345"/>
      <c r="K504" s="345"/>
      <c r="L504" s="345"/>
      <c r="M504" s="345"/>
      <c r="N504" s="345"/>
      <c r="O504" s="345"/>
      <c r="P504" s="355" t="e">
        <v>#REF!</v>
      </c>
    </row>
    <row r="505" spans="1:18" ht="15.75" hidden="1">
      <c r="A505" s="356"/>
      <c r="B505" s="384" t="s">
        <v>633</v>
      </c>
      <c r="C505" s="340"/>
      <c r="D505" s="340"/>
      <c r="E505" s="345"/>
      <c r="F505" s="345"/>
      <c r="G505" s="345"/>
      <c r="H505" s="345"/>
      <c r="I505" s="345"/>
      <c r="J505" s="345"/>
      <c r="K505" s="345"/>
      <c r="L505" s="345"/>
      <c r="M505" s="345"/>
      <c r="N505" s="345"/>
      <c r="O505" s="345"/>
      <c r="P505" s="355" t="e">
        <v>#REF!</v>
      </c>
    </row>
    <row r="506" spans="1:18" ht="15.75" hidden="1">
      <c r="A506" s="356"/>
      <c r="B506" s="384" t="s">
        <v>634</v>
      </c>
      <c r="C506" s="340"/>
      <c r="D506" s="340"/>
      <c r="E506" s="345"/>
      <c r="F506" s="345"/>
      <c r="G506" s="345"/>
      <c r="H506" s="345"/>
      <c r="I506" s="345"/>
      <c r="J506" s="345"/>
      <c r="K506" s="345"/>
      <c r="L506" s="345"/>
      <c r="M506" s="345"/>
      <c r="N506" s="345"/>
      <c r="O506" s="345"/>
      <c r="P506" s="355" t="e">
        <v>#REF!</v>
      </c>
    </row>
    <row r="507" spans="1:18" ht="16.5" hidden="1" thickBot="1">
      <c r="A507" s="401"/>
      <c r="B507" s="386" t="s">
        <v>635</v>
      </c>
      <c r="C507" s="387"/>
      <c r="D507" s="387"/>
      <c r="E507" s="501"/>
      <c r="F507" s="501"/>
      <c r="G507" s="501"/>
      <c r="H507" s="501"/>
      <c r="I507" s="501"/>
      <c r="J507" s="501"/>
      <c r="K507" s="501"/>
      <c r="L507" s="501"/>
      <c r="M507" s="501"/>
      <c r="N507" s="501"/>
      <c r="O507" s="501"/>
      <c r="P507" s="355" t="e">
        <v>#REF!</v>
      </c>
    </row>
    <row r="508" spans="1:18" ht="16.5" hidden="1" thickBot="1">
      <c r="A508" s="502"/>
      <c r="B508" s="868" t="s">
        <v>705</v>
      </c>
      <c r="C508" s="869"/>
      <c r="D508" s="870"/>
      <c r="E508" s="367"/>
      <c r="F508" s="367"/>
      <c r="G508" s="367"/>
      <c r="H508" s="367"/>
      <c r="I508" s="367"/>
      <c r="J508" s="367"/>
      <c r="K508" s="367"/>
      <c r="L508" s="367"/>
      <c r="M508" s="367"/>
      <c r="N508" s="367"/>
      <c r="O508" s="367"/>
      <c r="P508" s="400"/>
    </row>
    <row r="509" spans="1:18" ht="0.75" customHeight="1" thickBot="1">
      <c r="A509" s="509"/>
      <c r="B509" s="880" t="s">
        <v>567</v>
      </c>
      <c r="C509" s="881"/>
      <c r="D509" s="882"/>
      <c r="E509" s="510">
        <v>690</v>
      </c>
      <c r="F509" s="510"/>
      <c r="G509" s="510"/>
      <c r="H509" s="510"/>
      <c r="I509" s="510"/>
      <c r="J509" s="510"/>
      <c r="K509" s="510"/>
      <c r="L509" s="510"/>
      <c r="M509" s="510"/>
      <c r="N509" s="510"/>
      <c r="O509" s="510">
        <v>6892685.7000000002</v>
      </c>
      <c r="P509" s="449" t="e">
        <v>#REF!</v>
      </c>
    </row>
    <row r="510" spans="1:18" ht="30.75" customHeight="1">
      <c r="A510" s="901" t="s">
        <v>727</v>
      </c>
      <c r="B510" s="901"/>
      <c r="C510" s="901"/>
      <c r="D510" s="901"/>
      <c r="E510" s="901"/>
      <c r="F510" s="901"/>
      <c r="G510" s="901"/>
      <c r="H510" s="901"/>
      <c r="I510" s="901"/>
      <c r="J510" s="901"/>
      <c r="K510" s="901"/>
      <c r="L510" s="901"/>
      <c r="M510" s="901"/>
      <c r="N510" s="901"/>
      <c r="O510" s="901"/>
      <c r="P510" s="508"/>
    </row>
    <row r="511" spans="1:18" ht="15.75">
      <c r="A511" s="385"/>
      <c r="B511" s="488" t="s">
        <v>740</v>
      </c>
      <c r="C511" s="488"/>
      <c r="D511" s="488"/>
      <c r="E511" s="488"/>
      <c r="F511" s="488"/>
      <c r="G511" s="856" t="s">
        <v>741</v>
      </c>
      <c r="H511" s="856"/>
      <c r="I511" s="856"/>
      <c r="J511" s="856"/>
      <c r="K511" s="605"/>
      <c r="L511" s="329"/>
      <c r="M511" s="329"/>
      <c r="N511" s="329"/>
      <c r="O511" s="329"/>
      <c r="P511" s="329"/>
    </row>
    <row r="512" spans="1:18" ht="18.75">
      <c r="A512" s="385"/>
      <c r="B512" s="506"/>
      <c r="C512" s="506"/>
      <c r="D512" s="520"/>
      <c r="E512" s="521"/>
      <c r="F512" s="506"/>
      <c r="G512" s="507"/>
      <c r="H512" s="507"/>
      <c r="I512" s="507"/>
      <c r="J512" s="507"/>
      <c r="K512" s="329"/>
      <c r="L512" s="329"/>
      <c r="M512" s="329"/>
      <c r="N512" s="329"/>
      <c r="O512" s="329"/>
      <c r="P512" s="329"/>
    </row>
    <row r="513" spans="1:16" ht="33.75" customHeight="1">
      <c r="A513" s="422"/>
      <c r="B513" s="488" t="s">
        <v>706</v>
      </c>
      <c r="C513" s="490"/>
      <c r="D513" s="490"/>
      <c r="E513" s="490"/>
      <c r="F513" s="489"/>
      <c r="G513" s="856" t="s">
        <v>577</v>
      </c>
      <c r="H513" s="856"/>
      <c r="I513" s="856"/>
      <c r="J513" s="856"/>
      <c r="K513" s="423"/>
      <c r="L513" s="871"/>
      <c r="M513" s="871"/>
      <c r="N513" s="871"/>
      <c r="O513" s="871"/>
      <c r="P513" s="871"/>
    </row>
    <row r="516" spans="1:16">
      <c r="E516" s="167"/>
    </row>
  </sheetData>
  <autoFilter ref="A6:P509">
    <filterColumn colId="7" showButton="0"/>
    <filterColumn colId="8" showButton="0"/>
    <filterColumn colId="9" showButton="0"/>
    <filterColumn colId="11" showButton="0"/>
    <filterColumn colId="14" showButton="0"/>
  </autoFilter>
  <mergeCells count="90">
    <mergeCell ref="A510:O510"/>
    <mergeCell ref="A1:P1"/>
    <mergeCell ref="A3:P3"/>
    <mergeCell ref="A4:P4"/>
    <mergeCell ref="A5:P5"/>
    <mergeCell ref="A2:O2"/>
    <mergeCell ref="H8:I8"/>
    <mergeCell ref="H6:K7"/>
    <mergeCell ref="N6:N9"/>
    <mergeCell ref="J8:K8"/>
    <mergeCell ref="O7:O9"/>
    <mergeCell ref="P7:P9"/>
    <mergeCell ref="O6:P6"/>
    <mergeCell ref="A6:A9"/>
    <mergeCell ref="L8:M8"/>
    <mergeCell ref="L6:M7"/>
    <mergeCell ref="G6:G9"/>
    <mergeCell ref="F6:F9"/>
    <mergeCell ref="A48:D48"/>
    <mergeCell ref="A56:D56"/>
    <mergeCell ref="A53:P53"/>
    <mergeCell ref="B6:B9"/>
    <mergeCell ref="C6:C9"/>
    <mergeCell ref="D6:D9"/>
    <mergeCell ref="E6:E9"/>
    <mergeCell ref="A281:P281"/>
    <mergeCell ref="A300:P300"/>
    <mergeCell ref="A295:D295"/>
    <mergeCell ref="A314:D314"/>
    <mergeCell ref="A126:P126"/>
    <mergeCell ref="A130:D130"/>
    <mergeCell ref="A152:P152"/>
    <mergeCell ref="A144:P144"/>
    <mergeCell ref="A147:D147"/>
    <mergeCell ref="A139:D139"/>
    <mergeCell ref="A135:P135"/>
    <mergeCell ref="A73:D73"/>
    <mergeCell ref="A81:D81"/>
    <mergeCell ref="A95:P95"/>
    <mergeCell ref="A121:D121"/>
    <mergeCell ref="A108:P108"/>
    <mergeCell ref="A103:D103"/>
    <mergeCell ref="A90:D90"/>
    <mergeCell ref="A78:P78"/>
    <mergeCell ref="A86:P86"/>
    <mergeCell ref="A61:P61"/>
    <mergeCell ref="A23:D23"/>
    <mergeCell ref="A28:P28"/>
    <mergeCell ref="A32:D32"/>
    <mergeCell ref="A37:P37"/>
    <mergeCell ref="A45:P45"/>
    <mergeCell ref="A40:D40"/>
    <mergeCell ref="L513:P513"/>
    <mergeCell ref="A334:D334"/>
    <mergeCell ref="A339:P339"/>
    <mergeCell ref="A164:D164"/>
    <mergeCell ref="A169:P169"/>
    <mergeCell ref="A182:D182"/>
    <mergeCell ref="A498:D498"/>
    <mergeCell ref="A503:D503"/>
    <mergeCell ref="G503:M503"/>
    <mergeCell ref="A398:D398"/>
    <mergeCell ref="A486:P486"/>
    <mergeCell ref="A465:P465"/>
    <mergeCell ref="A481:D481"/>
    <mergeCell ref="A424:P424"/>
    <mergeCell ref="A442:P442"/>
    <mergeCell ref="B509:D509"/>
    <mergeCell ref="G511:J511"/>
    <mergeCell ref="G513:J513"/>
    <mergeCell ref="A187:P187"/>
    <mergeCell ref="A206:P206"/>
    <mergeCell ref="A201:D201"/>
    <mergeCell ref="A244:P244"/>
    <mergeCell ref="A256:D256"/>
    <mergeCell ref="A222:D222"/>
    <mergeCell ref="A227:P227"/>
    <mergeCell ref="A239:D239"/>
    <mergeCell ref="A261:P261"/>
    <mergeCell ref="A276:D276"/>
    <mergeCell ref="B508:D508"/>
    <mergeCell ref="A319:P319"/>
    <mergeCell ref="A403:P403"/>
    <mergeCell ref="A419:D419"/>
    <mergeCell ref="A437:D437"/>
    <mergeCell ref="A460:D460"/>
    <mergeCell ref="A359:D359"/>
    <mergeCell ref="A376:D376"/>
    <mergeCell ref="A364:P364"/>
    <mergeCell ref="A381:P381"/>
  </mergeCells>
  <phoneticPr fontId="4" type="noConversion"/>
  <pageMargins left="0.70866141732283472" right="0.70866141732283472" top="0.74803149606299213" bottom="0.74803149606299213" header="0.31496062992125984" footer="0.31496062992125984"/>
  <pageSetup paperSize="9" scale="59" fitToHeight="0" orientation="portrait" r:id="rId1"/>
  <rowBreaks count="3" manualBreakCount="3">
    <brk id="127" max="14" man="1"/>
    <brk id="273" max="14" man="1"/>
    <brk id="387" max="14" man="1"/>
  </rowBreaks>
  <colBreaks count="1" manualBreakCount="1">
    <brk id="15" max="540"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AH104"/>
  <sheetViews>
    <sheetView view="pageBreakPreview" zoomScale="75" zoomScaleNormal="75" zoomScaleSheetLayoutView="75" workbookViewId="0">
      <selection activeCell="A59" sqref="A59:AE91"/>
    </sheetView>
  </sheetViews>
  <sheetFormatPr defaultColWidth="9.140625" defaultRowHeight="18.75"/>
  <cols>
    <col min="1" max="1" width="6.5703125" style="2" customWidth="1"/>
    <col min="2" max="2" width="25.42578125" style="2" customWidth="1"/>
    <col min="3" max="3" width="6.7109375" style="2" customWidth="1"/>
    <col min="4" max="4" width="5.140625" style="2" customWidth="1"/>
    <col min="5" max="5" width="5.85546875" style="2" customWidth="1"/>
    <col min="6" max="6" width="6.7109375" style="2" customWidth="1"/>
    <col min="7" max="7" width="13.140625" style="2" customWidth="1"/>
    <col min="8" max="8" width="10" style="2" customWidth="1"/>
    <col min="9" max="9" width="10.140625" style="2" customWidth="1"/>
    <col min="10" max="10" width="9.5703125" style="2" customWidth="1"/>
    <col min="11" max="11" width="9.85546875" style="2" customWidth="1"/>
    <col min="12" max="12" width="5.85546875" style="2" customWidth="1"/>
    <col min="13" max="13" width="5.5703125" style="2" customWidth="1"/>
    <col min="14" max="14" width="6.42578125" style="2" customWidth="1"/>
    <col min="15" max="15" width="3.42578125" style="2" customWidth="1"/>
    <col min="16" max="16" width="7.28515625" style="2" customWidth="1"/>
    <col min="17" max="17" width="4.7109375" style="2" customWidth="1"/>
    <col min="18" max="18" width="6.140625" style="2" customWidth="1"/>
    <col min="19" max="19" width="5.140625" style="2" customWidth="1"/>
    <col min="20" max="20" width="6.28515625" style="2" customWidth="1"/>
    <col min="21" max="21" width="5.28515625" style="2" customWidth="1"/>
    <col min="22" max="22" width="7" style="2" customWidth="1"/>
    <col min="23" max="23" width="7.28515625" style="2" customWidth="1"/>
    <col min="24" max="24" width="6.5703125" style="2" customWidth="1"/>
    <col min="25" max="25" width="6.42578125" style="2" customWidth="1"/>
    <col min="26" max="26" width="5.42578125" style="2" customWidth="1"/>
    <col min="27" max="27" width="7.140625" style="2" customWidth="1"/>
    <col min="28" max="28" width="6.42578125" style="2" customWidth="1"/>
    <col min="29" max="29" width="7.42578125" style="2" customWidth="1"/>
    <col min="30" max="30" width="5.85546875" style="2" customWidth="1"/>
    <col min="31" max="31" width="7.7109375" style="2" customWidth="1"/>
    <col min="32" max="32" width="21" style="2" customWidth="1"/>
    <col min="33" max="33" width="18.7109375" style="2" customWidth="1"/>
    <col min="34" max="34" width="13" style="2" bestFit="1" customWidth="1"/>
    <col min="35" max="16384" width="9.140625" style="2"/>
  </cols>
  <sheetData>
    <row r="1" spans="1:31" ht="16.5" customHeight="1">
      <c r="A1" s="4"/>
      <c r="B1" s="4"/>
      <c r="C1" s="4"/>
      <c r="D1" s="4"/>
      <c r="E1" s="4"/>
      <c r="F1" s="4"/>
      <c r="G1" s="4"/>
      <c r="H1" s="4"/>
      <c r="I1" s="4"/>
      <c r="J1" s="4"/>
      <c r="K1" s="4"/>
      <c r="L1" s="4"/>
      <c r="M1" s="4"/>
      <c r="N1" s="4"/>
      <c r="O1" s="4"/>
      <c r="Q1" s="17"/>
      <c r="R1" s="17"/>
      <c r="S1" s="17"/>
      <c r="T1" s="17"/>
      <c r="U1" s="17"/>
      <c r="AB1" s="1021"/>
      <c r="AC1" s="1022"/>
      <c r="AD1" s="1022"/>
      <c r="AE1" s="1022"/>
    </row>
    <row r="2" spans="1:31" ht="27.75" customHeight="1">
      <c r="B2" s="32" t="s">
        <v>251</v>
      </c>
      <c r="C2" s="49"/>
      <c r="D2" s="49"/>
      <c r="E2" s="49"/>
      <c r="F2" s="49"/>
      <c r="G2" s="49"/>
      <c r="H2" s="49"/>
      <c r="I2" s="49"/>
      <c r="J2" s="49"/>
      <c r="K2" s="49"/>
      <c r="L2" s="49"/>
      <c r="M2" s="49"/>
      <c r="N2" s="49"/>
      <c r="O2" s="49"/>
      <c r="P2" s="49"/>
      <c r="Q2" s="49"/>
      <c r="R2" s="49"/>
      <c r="S2" s="49"/>
      <c r="T2" s="49"/>
      <c r="U2" s="49"/>
      <c r="V2" s="49"/>
      <c r="W2" s="49"/>
      <c r="X2" s="49"/>
      <c r="Y2" s="49"/>
      <c r="Z2" s="49"/>
      <c r="AA2" s="49"/>
      <c r="AB2" s="49"/>
      <c r="AC2" s="49"/>
      <c r="AD2" s="49"/>
      <c r="AE2" s="49"/>
    </row>
    <row r="3" spans="1:31" ht="8.25" customHeight="1">
      <c r="A3" s="45"/>
      <c r="B3" s="45"/>
      <c r="C3" s="45"/>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row>
    <row r="4" spans="1:31" ht="16.5" customHeight="1">
      <c r="A4" s="1047" t="s">
        <v>37</v>
      </c>
      <c r="B4" s="743" t="s">
        <v>128</v>
      </c>
      <c r="C4" s="951" t="s">
        <v>129</v>
      </c>
      <c r="D4" s="952"/>
      <c r="E4" s="952"/>
      <c r="F4" s="1045"/>
      <c r="G4" s="951" t="s">
        <v>212</v>
      </c>
      <c r="H4" s="952"/>
      <c r="I4" s="952"/>
      <c r="J4" s="952"/>
      <c r="K4" s="952"/>
      <c r="L4" s="1045"/>
      <c r="M4" s="951" t="s">
        <v>130</v>
      </c>
      <c r="N4" s="952"/>
      <c r="O4" s="952"/>
      <c r="P4" s="1045"/>
      <c r="Q4" s="839" t="s">
        <v>184</v>
      </c>
      <c r="R4" s="723"/>
      <c r="S4" s="723"/>
      <c r="T4" s="723"/>
      <c r="U4" s="723"/>
      <c r="V4" s="723"/>
      <c r="W4" s="723"/>
      <c r="X4" s="723"/>
      <c r="Y4" s="723"/>
      <c r="Z4" s="723"/>
      <c r="AA4" s="723"/>
      <c r="AB4" s="723"/>
      <c r="AC4" s="723"/>
      <c r="AD4" s="723"/>
      <c r="AE4" s="724"/>
    </row>
    <row r="5" spans="1:31" ht="39.75" customHeight="1">
      <c r="A5" s="1048"/>
      <c r="B5" s="744"/>
      <c r="C5" s="954"/>
      <c r="D5" s="955"/>
      <c r="E5" s="955"/>
      <c r="F5" s="1046"/>
      <c r="G5" s="954"/>
      <c r="H5" s="955"/>
      <c r="I5" s="955"/>
      <c r="J5" s="955"/>
      <c r="K5" s="955"/>
      <c r="L5" s="1046"/>
      <c r="M5" s="954"/>
      <c r="N5" s="955"/>
      <c r="O5" s="955"/>
      <c r="P5" s="1046"/>
      <c r="Q5" s="719" t="s">
        <v>131</v>
      </c>
      <c r="R5" s="712"/>
      <c r="S5" s="713"/>
      <c r="T5" s="719" t="s">
        <v>132</v>
      </c>
      <c r="U5" s="712"/>
      <c r="V5" s="713"/>
      <c r="W5" s="719" t="s">
        <v>31</v>
      </c>
      <c r="X5" s="712"/>
      <c r="Y5" s="713"/>
      <c r="Z5" s="839" t="s">
        <v>133</v>
      </c>
      <c r="AA5" s="723"/>
      <c r="AB5" s="724"/>
      <c r="AC5" s="839" t="s">
        <v>134</v>
      </c>
      <c r="AD5" s="723"/>
      <c r="AE5" s="724"/>
    </row>
    <row r="6" spans="1:31" ht="9.75" customHeight="1">
      <c r="A6" s="103">
        <v>1</v>
      </c>
      <c r="B6" s="104">
        <v>2</v>
      </c>
      <c r="C6" s="754">
        <v>3</v>
      </c>
      <c r="D6" s="1044"/>
      <c r="E6" s="1044"/>
      <c r="F6" s="936"/>
      <c r="G6" s="754">
        <v>4</v>
      </c>
      <c r="H6" s="1044"/>
      <c r="I6" s="1044"/>
      <c r="J6" s="1044"/>
      <c r="K6" s="1044"/>
      <c r="L6" s="936"/>
      <c r="M6" s="754">
        <v>5</v>
      </c>
      <c r="N6" s="1044"/>
      <c r="O6" s="1044"/>
      <c r="P6" s="936"/>
      <c r="Q6" s="754">
        <v>6</v>
      </c>
      <c r="R6" s="1044"/>
      <c r="S6" s="936"/>
      <c r="T6" s="754">
        <v>7</v>
      </c>
      <c r="U6" s="1044"/>
      <c r="V6" s="936"/>
      <c r="W6" s="1049">
        <v>8</v>
      </c>
      <c r="X6" s="1050"/>
      <c r="Y6" s="1051"/>
      <c r="Z6" s="1049">
        <v>9</v>
      </c>
      <c r="AA6" s="1050"/>
      <c r="AB6" s="1051"/>
      <c r="AC6" s="1049">
        <v>10</v>
      </c>
      <c r="AD6" s="1050"/>
      <c r="AE6" s="1051"/>
    </row>
    <row r="7" spans="1:31" ht="18.75" customHeight="1">
      <c r="A7" s="53"/>
      <c r="B7" s="54"/>
      <c r="C7" s="1029"/>
      <c r="D7" s="1030"/>
      <c r="E7" s="1030"/>
      <c r="F7" s="1031"/>
      <c r="G7" s="1032"/>
      <c r="H7" s="1033"/>
      <c r="I7" s="1033"/>
      <c r="J7" s="1033"/>
      <c r="K7" s="1033"/>
      <c r="L7" s="1034"/>
      <c r="M7" s="1038">
        <f>SUM(Q7,T7,W7,Z7,AC7)</f>
        <v>0</v>
      </c>
      <c r="N7" s="1039"/>
      <c r="O7" s="1039"/>
      <c r="P7" s="1040"/>
      <c r="Q7" s="1035"/>
      <c r="R7" s="1036"/>
      <c r="S7" s="1037"/>
      <c r="T7" s="1035"/>
      <c r="U7" s="1036"/>
      <c r="V7" s="1037"/>
      <c r="W7" s="1035"/>
      <c r="X7" s="1036"/>
      <c r="Y7" s="1037"/>
      <c r="Z7" s="1035"/>
      <c r="AA7" s="1036"/>
      <c r="AB7" s="1037"/>
      <c r="AC7" s="1035"/>
      <c r="AD7" s="1036"/>
      <c r="AE7" s="1037"/>
    </row>
    <row r="8" spans="1:31" ht="20.100000000000001" customHeight="1">
      <c r="A8" s="1041" t="s">
        <v>40</v>
      </c>
      <c r="B8" s="1042"/>
      <c r="C8" s="1042"/>
      <c r="D8" s="1042"/>
      <c r="E8" s="1042"/>
      <c r="F8" s="1042"/>
      <c r="G8" s="1042"/>
      <c r="H8" s="1042"/>
      <c r="I8" s="1042"/>
      <c r="J8" s="1042"/>
      <c r="K8" s="1042"/>
      <c r="L8" s="1043"/>
      <c r="M8" s="1023">
        <f>SUM(M7:P7)</f>
        <v>0</v>
      </c>
      <c r="N8" s="1024"/>
      <c r="O8" s="1024"/>
      <c r="P8" s="1025"/>
      <c r="Q8" s="1023">
        <f>SUM(Q7:S7)</f>
        <v>0</v>
      </c>
      <c r="R8" s="1024"/>
      <c r="S8" s="1025"/>
      <c r="T8" s="1023">
        <f>SUM(T7:V7)</f>
        <v>0</v>
      </c>
      <c r="U8" s="1024"/>
      <c r="V8" s="1025"/>
      <c r="W8" s="1023">
        <f>SUM(W7:Y7)</f>
        <v>0</v>
      </c>
      <c r="X8" s="1024"/>
      <c r="Y8" s="1025"/>
      <c r="Z8" s="1023">
        <f>SUM(Z7:AB7)</f>
        <v>0</v>
      </c>
      <c r="AA8" s="1024"/>
      <c r="AB8" s="1025"/>
      <c r="AC8" s="1023">
        <f>SUM(AC7:AE7)</f>
        <v>0</v>
      </c>
      <c r="AD8" s="1024"/>
      <c r="AE8" s="1025"/>
    </row>
    <row r="9" spans="1:31" ht="8.25" customHeight="1">
      <c r="A9" s="27"/>
      <c r="B9" s="27"/>
      <c r="C9" s="27"/>
      <c r="D9" s="27"/>
      <c r="E9" s="27"/>
      <c r="F9" s="27"/>
      <c r="G9" s="27"/>
      <c r="H9" s="27"/>
      <c r="I9" s="27"/>
      <c r="J9" s="27"/>
      <c r="K9" s="27"/>
      <c r="L9" s="27"/>
      <c r="M9" s="28"/>
      <c r="N9" s="28"/>
      <c r="O9" s="28"/>
      <c r="P9" s="28"/>
      <c r="Q9" s="46"/>
      <c r="R9" s="46"/>
      <c r="S9" s="46"/>
      <c r="T9" s="46"/>
      <c r="U9" s="46"/>
      <c r="V9" s="46"/>
      <c r="W9" s="47"/>
      <c r="X9" s="47"/>
      <c r="Y9" s="47"/>
      <c r="Z9" s="47"/>
      <c r="AA9" s="47"/>
      <c r="AB9" s="47"/>
      <c r="AC9" s="47"/>
      <c r="AD9" s="47"/>
      <c r="AE9" s="47"/>
    </row>
    <row r="10" spans="1:31" s="32" customFormat="1" ht="24.75" customHeight="1">
      <c r="B10" s="32" t="s">
        <v>252</v>
      </c>
    </row>
    <row r="11" spans="1:31" s="32" customFormat="1" ht="9.75" customHeight="1"/>
    <row r="12" spans="1:31" ht="18.75" customHeight="1">
      <c r="A12" s="778" t="s">
        <v>37</v>
      </c>
      <c r="B12" s="746" t="s">
        <v>135</v>
      </c>
      <c r="C12" s="734" t="s">
        <v>128</v>
      </c>
      <c r="D12" s="734"/>
      <c r="E12" s="734"/>
      <c r="F12" s="734"/>
      <c r="G12" s="734" t="s">
        <v>212</v>
      </c>
      <c r="H12" s="734"/>
      <c r="I12" s="734"/>
      <c r="J12" s="734"/>
      <c r="K12" s="734"/>
      <c r="L12" s="734"/>
      <c r="M12" s="734"/>
      <c r="N12" s="734"/>
      <c r="O12" s="734"/>
      <c r="P12" s="734"/>
      <c r="Q12" s="734" t="s">
        <v>136</v>
      </c>
      <c r="R12" s="734"/>
      <c r="S12" s="734"/>
      <c r="T12" s="734"/>
      <c r="U12" s="734"/>
      <c r="V12" s="732" t="s">
        <v>137</v>
      </c>
      <c r="W12" s="732"/>
      <c r="X12" s="732"/>
      <c r="Y12" s="732"/>
      <c r="Z12" s="732"/>
      <c r="AA12" s="732"/>
      <c r="AB12" s="732"/>
      <c r="AC12" s="732"/>
      <c r="AD12" s="732"/>
      <c r="AE12" s="732"/>
    </row>
    <row r="13" spans="1:31" ht="15" customHeight="1">
      <c r="A13" s="778"/>
      <c r="B13" s="746"/>
      <c r="C13" s="734"/>
      <c r="D13" s="734"/>
      <c r="E13" s="734"/>
      <c r="F13" s="734"/>
      <c r="G13" s="734"/>
      <c r="H13" s="734"/>
      <c r="I13" s="734"/>
      <c r="J13" s="734"/>
      <c r="K13" s="734"/>
      <c r="L13" s="734"/>
      <c r="M13" s="734"/>
      <c r="N13" s="734"/>
      <c r="O13" s="734"/>
      <c r="P13" s="734"/>
      <c r="Q13" s="734"/>
      <c r="R13" s="734"/>
      <c r="S13" s="734"/>
      <c r="T13" s="734"/>
      <c r="U13" s="734"/>
      <c r="V13" s="733" t="s">
        <v>138</v>
      </c>
      <c r="W13" s="733"/>
      <c r="X13" s="1052" t="s">
        <v>73</v>
      </c>
      <c r="Y13" s="1052"/>
      <c r="Z13" s="1052"/>
      <c r="AA13" s="1052"/>
      <c r="AB13" s="1052"/>
      <c r="AC13" s="1052"/>
      <c r="AD13" s="1052"/>
      <c r="AE13" s="1052"/>
    </row>
    <row r="14" spans="1:31" ht="16.5" customHeight="1">
      <c r="A14" s="778"/>
      <c r="B14" s="746"/>
      <c r="C14" s="734"/>
      <c r="D14" s="734"/>
      <c r="E14" s="734"/>
      <c r="F14" s="734"/>
      <c r="G14" s="734"/>
      <c r="H14" s="734"/>
      <c r="I14" s="734"/>
      <c r="J14" s="734"/>
      <c r="K14" s="734"/>
      <c r="L14" s="734"/>
      <c r="M14" s="734"/>
      <c r="N14" s="734"/>
      <c r="O14" s="734"/>
      <c r="P14" s="734"/>
      <c r="Q14" s="734"/>
      <c r="R14" s="734"/>
      <c r="S14" s="734"/>
      <c r="T14" s="734"/>
      <c r="U14" s="734"/>
      <c r="V14" s="733"/>
      <c r="W14" s="733"/>
      <c r="X14" s="732" t="s">
        <v>57</v>
      </c>
      <c r="Y14" s="732"/>
      <c r="Z14" s="732" t="s">
        <v>58</v>
      </c>
      <c r="AA14" s="732"/>
      <c r="AB14" s="732" t="s">
        <v>56</v>
      </c>
      <c r="AC14" s="732"/>
      <c r="AD14" s="732" t="s">
        <v>55</v>
      </c>
      <c r="AE14" s="732"/>
    </row>
    <row r="15" spans="1:31" ht="12" customHeight="1">
      <c r="A15" s="91">
        <v>1</v>
      </c>
      <c r="B15" s="91">
        <v>2</v>
      </c>
      <c r="C15" s="770">
        <v>3</v>
      </c>
      <c r="D15" s="770"/>
      <c r="E15" s="770"/>
      <c r="F15" s="770"/>
      <c r="G15" s="770">
        <v>4</v>
      </c>
      <c r="H15" s="770"/>
      <c r="I15" s="770"/>
      <c r="J15" s="770"/>
      <c r="K15" s="770"/>
      <c r="L15" s="770"/>
      <c r="M15" s="770"/>
      <c r="N15" s="770"/>
      <c r="O15" s="770"/>
      <c r="P15" s="770"/>
      <c r="Q15" s="770">
        <v>5</v>
      </c>
      <c r="R15" s="770"/>
      <c r="S15" s="770"/>
      <c r="T15" s="770"/>
      <c r="U15" s="770"/>
      <c r="V15" s="770">
        <v>6</v>
      </c>
      <c r="W15" s="770"/>
      <c r="X15" s="805">
        <v>7</v>
      </c>
      <c r="Y15" s="805"/>
      <c r="Z15" s="805">
        <v>8</v>
      </c>
      <c r="AA15" s="805"/>
      <c r="AB15" s="805">
        <v>9</v>
      </c>
      <c r="AC15" s="805"/>
      <c r="AD15" s="805">
        <v>10</v>
      </c>
      <c r="AE15" s="805"/>
    </row>
    <row r="16" spans="1:31" ht="17.25" customHeight="1">
      <c r="A16" s="78"/>
      <c r="B16" s="74"/>
      <c r="C16" s="844"/>
      <c r="D16" s="844"/>
      <c r="E16" s="844"/>
      <c r="F16" s="844"/>
      <c r="G16" s="1018"/>
      <c r="H16" s="1018"/>
      <c r="I16" s="1018"/>
      <c r="J16" s="1018"/>
      <c r="K16" s="1018"/>
      <c r="L16" s="1018"/>
      <c r="M16" s="1018"/>
      <c r="N16" s="1018"/>
      <c r="O16" s="1018"/>
      <c r="P16" s="1018"/>
      <c r="Q16" s="1027"/>
      <c r="R16" s="1027"/>
      <c r="S16" s="1027"/>
      <c r="T16" s="1027"/>
      <c r="U16" s="1027"/>
      <c r="V16" s="1028">
        <f>SUM(X16,Z16,AB16,AD16)</f>
        <v>0</v>
      </c>
      <c r="W16" s="1028"/>
      <c r="X16" s="1026"/>
      <c r="Y16" s="1026"/>
      <c r="Z16" s="1026"/>
      <c r="AA16" s="1026"/>
      <c r="AB16" s="1026"/>
      <c r="AC16" s="1026"/>
      <c r="AD16" s="1026"/>
      <c r="AE16" s="1026"/>
    </row>
    <row r="17" spans="1:31" ht="16.5" customHeight="1">
      <c r="A17" s="746" t="s">
        <v>40</v>
      </c>
      <c r="B17" s="746"/>
      <c r="C17" s="746"/>
      <c r="D17" s="746"/>
      <c r="E17" s="746"/>
      <c r="F17" s="746"/>
      <c r="G17" s="746"/>
      <c r="H17" s="746"/>
      <c r="I17" s="746"/>
      <c r="J17" s="746"/>
      <c r="K17" s="746"/>
      <c r="L17" s="746"/>
      <c r="M17" s="746"/>
      <c r="N17" s="746"/>
      <c r="O17" s="746"/>
      <c r="P17" s="746"/>
      <c r="Q17" s="746"/>
      <c r="R17" s="746"/>
      <c r="S17" s="746"/>
      <c r="T17" s="746"/>
      <c r="U17" s="746"/>
      <c r="V17" s="963">
        <f>SUM(V16:W16)</f>
        <v>0</v>
      </c>
      <c r="W17" s="963"/>
      <c r="X17" s="963">
        <f>SUM(X16:Y16)</f>
        <v>0</v>
      </c>
      <c r="Y17" s="963"/>
      <c r="Z17" s="963">
        <f>SUM(Z16:AA16)</f>
        <v>0</v>
      </c>
      <c r="AA17" s="963"/>
      <c r="AB17" s="963">
        <f>SUM(AB16:AC16)</f>
        <v>0</v>
      </c>
      <c r="AC17" s="963"/>
      <c r="AD17" s="963">
        <f>SUM(AD16:AE16)</f>
        <v>0</v>
      </c>
      <c r="AE17" s="963"/>
    </row>
    <row r="18" spans="1:31" ht="4.5" customHeight="1">
      <c r="A18" s="4"/>
      <c r="B18" s="4"/>
      <c r="C18" s="4"/>
      <c r="D18" s="4"/>
      <c r="E18" s="4"/>
      <c r="F18" s="4"/>
      <c r="G18" s="4"/>
      <c r="H18" s="4"/>
      <c r="I18" s="4"/>
      <c r="J18" s="4"/>
      <c r="K18" s="4"/>
      <c r="L18" s="4"/>
      <c r="M18" s="4"/>
      <c r="N18" s="4"/>
      <c r="O18" s="4"/>
      <c r="Q18" s="17"/>
      <c r="R18" s="17"/>
      <c r="S18" s="17"/>
      <c r="T18" s="17"/>
      <c r="U18" s="17"/>
      <c r="AE18" s="17"/>
    </row>
    <row r="19" spans="1:31" s="32" customFormat="1" ht="21.75" customHeight="1">
      <c r="B19" s="32" t="s">
        <v>253</v>
      </c>
    </row>
    <row r="20" spans="1:31" ht="10.5" customHeight="1">
      <c r="A20" s="21"/>
      <c r="B20" s="21"/>
      <c r="C20" s="21"/>
      <c r="D20" s="21"/>
      <c r="E20" s="21"/>
      <c r="F20" s="21"/>
      <c r="G20" s="21"/>
      <c r="H20" s="35"/>
      <c r="I20" s="35"/>
      <c r="J20" s="35"/>
      <c r="K20" s="35"/>
      <c r="L20" s="35"/>
      <c r="M20" s="35"/>
      <c r="N20" s="35"/>
      <c r="O20" s="35"/>
      <c r="P20" s="35"/>
      <c r="Q20" s="35"/>
      <c r="R20" s="35"/>
      <c r="S20" s="35"/>
      <c r="T20" s="35"/>
      <c r="U20" s="35"/>
      <c r="V20" s="21"/>
      <c r="AD20" s="61" t="s">
        <v>158</v>
      </c>
    </row>
    <row r="21" spans="1:31" ht="36.75" customHeight="1">
      <c r="A21" s="823" t="s">
        <v>37</v>
      </c>
      <c r="B21" s="734" t="s">
        <v>159</v>
      </c>
      <c r="C21" s="734"/>
      <c r="D21" s="734"/>
      <c r="E21" s="734"/>
      <c r="F21" s="734"/>
      <c r="G21" s="734" t="s">
        <v>39</v>
      </c>
      <c r="H21" s="734"/>
      <c r="I21" s="734"/>
      <c r="J21" s="734"/>
      <c r="K21" s="734"/>
      <c r="L21" s="719" t="s">
        <v>70</v>
      </c>
      <c r="M21" s="712"/>
      <c r="N21" s="712"/>
      <c r="O21" s="712"/>
      <c r="P21" s="712"/>
      <c r="Q21" s="712"/>
      <c r="R21" s="712"/>
      <c r="S21" s="712"/>
      <c r="T21" s="712"/>
      <c r="U21" s="713"/>
      <c r="V21" s="719" t="s">
        <v>728</v>
      </c>
      <c r="W21" s="712"/>
      <c r="X21" s="712"/>
      <c r="Y21" s="712"/>
      <c r="Z21" s="712"/>
      <c r="AA21" s="712"/>
      <c r="AB21" s="712"/>
      <c r="AC21" s="712"/>
      <c r="AD21" s="712"/>
      <c r="AE21" s="713"/>
    </row>
    <row r="22" spans="1:31" ht="16.5" customHeight="1">
      <c r="A22" s="946"/>
      <c r="B22" s="734"/>
      <c r="C22" s="734"/>
      <c r="D22" s="734"/>
      <c r="E22" s="734"/>
      <c r="F22" s="734"/>
      <c r="G22" s="734" t="s">
        <v>62</v>
      </c>
      <c r="H22" s="733" t="s">
        <v>73</v>
      </c>
      <c r="I22" s="733"/>
      <c r="J22" s="733"/>
      <c r="K22" s="733"/>
      <c r="L22" s="734" t="s">
        <v>62</v>
      </c>
      <c r="M22" s="957"/>
      <c r="N22" s="943" t="s">
        <v>73</v>
      </c>
      <c r="O22" s="944"/>
      <c r="P22" s="944"/>
      <c r="Q22" s="944"/>
      <c r="R22" s="944"/>
      <c r="S22" s="944"/>
      <c r="T22" s="944"/>
      <c r="U22" s="945"/>
      <c r="V22" s="734" t="s">
        <v>62</v>
      </c>
      <c r="W22" s="957"/>
      <c r="X22" s="943" t="s">
        <v>73</v>
      </c>
      <c r="Y22" s="944"/>
      <c r="Z22" s="944"/>
      <c r="AA22" s="944"/>
      <c r="AB22" s="944"/>
      <c r="AC22" s="944"/>
      <c r="AD22" s="944"/>
      <c r="AE22" s="945"/>
    </row>
    <row r="23" spans="1:31" ht="19.5" customHeight="1">
      <c r="A23" s="947"/>
      <c r="B23" s="734"/>
      <c r="C23" s="734"/>
      <c r="D23" s="734"/>
      <c r="E23" s="734"/>
      <c r="F23" s="734"/>
      <c r="G23" s="734"/>
      <c r="H23" s="7" t="s">
        <v>57</v>
      </c>
      <c r="I23" s="7" t="s">
        <v>58</v>
      </c>
      <c r="J23" s="7" t="s">
        <v>56</v>
      </c>
      <c r="K23" s="7" t="s">
        <v>55</v>
      </c>
      <c r="L23" s="957"/>
      <c r="M23" s="957"/>
      <c r="N23" s="734" t="s">
        <v>57</v>
      </c>
      <c r="O23" s="734"/>
      <c r="P23" s="734" t="s">
        <v>239</v>
      </c>
      <c r="Q23" s="734"/>
      <c r="R23" s="734" t="s">
        <v>240</v>
      </c>
      <c r="S23" s="734"/>
      <c r="T23" s="734" t="s">
        <v>55</v>
      </c>
      <c r="U23" s="734"/>
      <c r="V23" s="957"/>
      <c r="W23" s="957"/>
      <c r="X23" s="734" t="s">
        <v>57</v>
      </c>
      <c r="Y23" s="734"/>
      <c r="Z23" s="734" t="s">
        <v>239</v>
      </c>
      <c r="AA23" s="734"/>
      <c r="AB23" s="734" t="s">
        <v>240</v>
      </c>
      <c r="AC23" s="734"/>
      <c r="AD23" s="734" t="s">
        <v>55</v>
      </c>
      <c r="AE23" s="734"/>
    </row>
    <row r="24" spans="1:31" ht="11.25" customHeight="1">
      <c r="A24" s="98">
        <v>1</v>
      </c>
      <c r="B24" s="757">
        <v>2</v>
      </c>
      <c r="C24" s="757"/>
      <c r="D24" s="757"/>
      <c r="E24" s="757"/>
      <c r="F24" s="757"/>
      <c r="G24" s="98">
        <v>3</v>
      </c>
      <c r="H24" s="98">
        <v>4</v>
      </c>
      <c r="I24" s="98">
        <v>5</v>
      </c>
      <c r="J24" s="98">
        <v>6</v>
      </c>
      <c r="K24" s="98">
        <v>7</v>
      </c>
      <c r="L24" s="754">
        <v>8</v>
      </c>
      <c r="M24" s="936"/>
      <c r="N24" s="754">
        <v>9</v>
      </c>
      <c r="O24" s="936"/>
      <c r="P24" s="754">
        <v>10</v>
      </c>
      <c r="Q24" s="936"/>
      <c r="R24" s="754">
        <v>11</v>
      </c>
      <c r="S24" s="936"/>
      <c r="T24" s="754">
        <v>12</v>
      </c>
      <c r="U24" s="936"/>
      <c r="V24" s="754">
        <v>13</v>
      </c>
      <c r="W24" s="936"/>
      <c r="X24" s="754">
        <v>14</v>
      </c>
      <c r="Y24" s="936"/>
      <c r="Z24" s="754">
        <v>15</v>
      </c>
      <c r="AA24" s="936"/>
      <c r="AB24" s="754">
        <v>16</v>
      </c>
      <c r="AC24" s="936"/>
      <c r="AD24" s="754">
        <v>17</v>
      </c>
      <c r="AE24" s="936"/>
    </row>
    <row r="25" spans="1:31" ht="51" customHeight="1">
      <c r="A25" s="219">
        <v>1</v>
      </c>
      <c r="B25" s="948" t="s">
        <v>541</v>
      </c>
      <c r="C25" s="949"/>
      <c r="D25" s="949"/>
      <c r="E25" s="949"/>
      <c r="F25" s="950"/>
      <c r="G25" s="82"/>
      <c r="H25" s="77"/>
      <c r="I25" s="77"/>
      <c r="J25" s="77"/>
      <c r="K25" s="77"/>
      <c r="L25" s="216"/>
      <c r="M25" s="217"/>
      <c r="N25" s="932"/>
      <c r="O25" s="933"/>
      <c r="P25" s="932"/>
      <c r="Q25" s="933"/>
      <c r="R25" s="932"/>
      <c r="S25" s="933"/>
      <c r="T25" s="932"/>
      <c r="U25" s="933"/>
      <c r="V25" s="934">
        <f>SUM(X25:AE25)</f>
        <v>0</v>
      </c>
      <c r="W25" s="935"/>
      <c r="X25" s="932">
        <f>'IV. Кап. інвестиції'!G7</f>
        <v>0</v>
      </c>
      <c r="Y25" s="933"/>
      <c r="Z25" s="932">
        <f>'IV. Кап. інвестиції'!H7</f>
        <v>0</v>
      </c>
      <c r="AA25" s="933"/>
      <c r="AB25" s="932">
        <f>'IV. Кап. інвестиції'!I7</f>
        <v>0</v>
      </c>
      <c r="AC25" s="933"/>
      <c r="AD25" s="932">
        <f>'IV. Кап. інвестиції'!J7</f>
        <v>0</v>
      </c>
      <c r="AE25" s="933"/>
    </row>
    <row r="26" spans="1:31" ht="67.5" customHeight="1">
      <c r="A26" s="219">
        <v>2</v>
      </c>
      <c r="B26" s="948" t="str">
        <f>'IV. Кап. інвестиції'!A8</f>
        <v>придбання (виготовлення) основних засобів (комп'ютерна техніка,медичне обладнання тощо)</v>
      </c>
      <c r="C26" s="949"/>
      <c r="D26" s="949"/>
      <c r="E26" s="949"/>
      <c r="F26" s="950"/>
      <c r="G26" s="82">
        <f>SUM(H26,I26,J26,K26)</f>
        <v>0</v>
      </c>
      <c r="H26" s="77"/>
      <c r="I26" s="77"/>
      <c r="J26" s="77"/>
      <c r="K26" s="77"/>
      <c r="L26" s="934">
        <f t="shared" ref="L26:L32" si="0">SUM(N26:U26)</f>
        <v>0</v>
      </c>
      <c r="M26" s="935"/>
      <c r="N26" s="932"/>
      <c r="O26" s="933"/>
      <c r="P26" s="932"/>
      <c r="Q26" s="933"/>
      <c r="R26" s="932"/>
      <c r="S26" s="933"/>
      <c r="T26" s="932"/>
      <c r="U26" s="933"/>
      <c r="V26" s="934">
        <f t="shared" ref="V26:V31" si="1">SUM(X26:AE26)</f>
        <v>1350</v>
      </c>
      <c r="W26" s="935"/>
      <c r="X26" s="932">
        <f>'IV. Кап. інвестиції'!G8</f>
        <v>850</v>
      </c>
      <c r="Y26" s="933"/>
      <c r="Z26" s="932">
        <f>'IV. Кап. інвестиції'!H8</f>
        <v>500</v>
      </c>
      <c r="AA26" s="933"/>
      <c r="AB26" s="932">
        <f>'IV. Кап. інвестиції'!I8</f>
        <v>0</v>
      </c>
      <c r="AC26" s="933"/>
      <c r="AD26" s="932">
        <f>'IV. Кап. інвестиції'!J8</f>
        <v>0</v>
      </c>
      <c r="AE26" s="933"/>
    </row>
    <row r="27" spans="1:31" ht="84" customHeight="1">
      <c r="A27" s="220">
        <v>3</v>
      </c>
      <c r="B27" s="771" t="str">
        <f>'IV. Кап. інвестиції'!A11</f>
        <v>придбання (виготовлення) інших необоротних матеріальних активів  (меблі, вироби медичного призначення, тощо)</v>
      </c>
      <c r="C27" s="771"/>
      <c r="D27" s="771"/>
      <c r="E27" s="771"/>
      <c r="F27" s="771"/>
      <c r="G27" s="82">
        <v>0</v>
      </c>
      <c r="H27" s="77"/>
      <c r="I27" s="77"/>
      <c r="J27" s="77"/>
      <c r="K27" s="77"/>
      <c r="L27" s="934">
        <f t="shared" si="0"/>
        <v>0</v>
      </c>
      <c r="M27" s="935"/>
      <c r="N27" s="932"/>
      <c r="O27" s="933"/>
      <c r="P27" s="932"/>
      <c r="Q27" s="933"/>
      <c r="R27" s="932"/>
      <c r="S27" s="933"/>
      <c r="T27" s="932"/>
      <c r="U27" s="933"/>
      <c r="V27" s="934">
        <f t="shared" si="1"/>
        <v>1925.5</v>
      </c>
      <c r="W27" s="935"/>
      <c r="X27" s="932">
        <f>'IV. Кап. інвестиції'!G11</f>
        <v>175.5</v>
      </c>
      <c r="Y27" s="933"/>
      <c r="Z27" s="932">
        <f>'IV. Кап. інвестиції'!H11</f>
        <v>750</v>
      </c>
      <c r="AA27" s="933"/>
      <c r="AB27" s="932">
        <f>'IV. Кап. інвестиції'!I11</f>
        <v>1000</v>
      </c>
      <c r="AC27" s="933"/>
      <c r="AD27" s="932">
        <f>'IV. Кап. інвестиції'!J11</f>
        <v>0</v>
      </c>
      <c r="AE27" s="933"/>
    </row>
    <row r="28" spans="1:31" ht="73.5" customHeight="1">
      <c r="A28" s="220">
        <f>A27+1</f>
        <v>4</v>
      </c>
      <c r="B28" s="1053" t="str">
        <f>'IV. Кап. інвестиції'!A14</f>
        <v xml:space="preserve">придбання (створення) нематеріальних активів  </v>
      </c>
      <c r="C28" s="1053"/>
      <c r="D28" s="1053"/>
      <c r="E28" s="1053"/>
      <c r="F28" s="1053"/>
      <c r="G28" s="82">
        <v>0</v>
      </c>
      <c r="H28" s="77"/>
      <c r="I28" s="77"/>
      <c r="J28" s="77"/>
      <c r="K28" s="77"/>
      <c r="L28" s="934">
        <f t="shared" si="0"/>
        <v>0</v>
      </c>
      <c r="M28" s="935"/>
      <c r="N28" s="932"/>
      <c r="O28" s="933"/>
      <c r="P28" s="932"/>
      <c r="Q28" s="933"/>
      <c r="R28" s="932"/>
      <c r="S28" s="933"/>
      <c r="T28" s="932"/>
      <c r="U28" s="933"/>
      <c r="V28" s="934">
        <f t="shared" si="1"/>
        <v>0</v>
      </c>
      <c r="W28" s="935"/>
      <c r="X28" s="932">
        <f>'IV. Кап. інвестиції'!G14</f>
        <v>0</v>
      </c>
      <c r="Y28" s="933"/>
      <c r="Z28" s="932">
        <f>'IV. Кап. інвестиції'!H14</f>
        <v>0</v>
      </c>
      <c r="AA28" s="933"/>
      <c r="AB28" s="932">
        <f>'IV. Кап. інвестиції'!I14</f>
        <v>0</v>
      </c>
      <c r="AC28" s="933"/>
      <c r="AD28" s="932">
        <f>'IV. Кап. інвестиції'!J14</f>
        <v>0</v>
      </c>
      <c r="AE28" s="933"/>
    </row>
    <row r="29" spans="1:31" s="5" customFormat="1" ht="51" customHeight="1">
      <c r="A29" s="513">
        <f>A28+1</f>
        <v>5</v>
      </c>
      <c r="B29" s="930" t="str">
        <f>'IV. Кап. інвестиції'!A15</f>
        <v xml:space="preserve">модернізація, модифікація (добудова, дообладнання, реконструкція) основних засобів  </v>
      </c>
      <c r="C29" s="930"/>
      <c r="D29" s="930"/>
      <c r="E29" s="930"/>
      <c r="F29" s="931"/>
      <c r="G29" s="82">
        <v>0</v>
      </c>
      <c r="H29" s="77"/>
      <c r="I29" s="77"/>
      <c r="J29" s="77"/>
      <c r="K29" s="77"/>
      <c r="L29" s="934">
        <f t="shared" si="0"/>
        <v>0</v>
      </c>
      <c r="M29" s="935"/>
      <c r="N29" s="932"/>
      <c r="O29" s="933"/>
      <c r="P29" s="932">
        <f>P31</f>
        <v>0</v>
      </c>
      <c r="Q29" s="933"/>
      <c r="R29" s="932"/>
      <c r="S29" s="933"/>
      <c r="T29" s="932"/>
      <c r="U29" s="933"/>
      <c r="V29" s="934">
        <f t="shared" si="1"/>
        <v>7000</v>
      </c>
      <c r="W29" s="935"/>
      <c r="X29" s="932">
        <f>'IV. Кап. інвестиції'!G15</f>
        <v>1400</v>
      </c>
      <c r="Y29" s="933"/>
      <c r="Z29" s="932">
        <f>'IV. Кап. інвестиції'!H15</f>
        <v>3313.8</v>
      </c>
      <c r="AA29" s="933"/>
      <c r="AB29" s="932">
        <f>'IV. Кап. інвестиції'!I15</f>
        <v>2286.1999999999998</v>
      </c>
      <c r="AC29" s="933"/>
      <c r="AD29" s="932">
        <f>'IV. Кап. інвестиції'!J15</f>
        <v>0</v>
      </c>
      <c r="AE29" s="933"/>
    </row>
    <row r="30" spans="1:31" ht="49.5" hidden="1" customHeight="1">
      <c r="A30" s="218" t="s">
        <v>542</v>
      </c>
      <c r="B30" s="930" t="str">
        <f>'IV. Кап. інвестиції'!A17</f>
        <v>виготовлення проєктно-кошторисної документації на капітальний ремонт амбулаторій за адресою пл.Польова,2</v>
      </c>
      <c r="C30" s="930"/>
      <c r="D30" s="930"/>
      <c r="E30" s="930"/>
      <c r="F30" s="931"/>
      <c r="G30" s="82">
        <v>0</v>
      </c>
      <c r="H30" s="77"/>
      <c r="I30" s="77"/>
      <c r="J30" s="77"/>
      <c r="K30" s="77"/>
      <c r="L30" s="934">
        <f t="shared" si="0"/>
        <v>0</v>
      </c>
      <c r="M30" s="935"/>
      <c r="N30" s="932"/>
      <c r="O30" s="933"/>
      <c r="P30" s="932"/>
      <c r="Q30" s="933"/>
      <c r="R30" s="932"/>
      <c r="S30" s="933"/>
      <c r="T30" s="932"/>
      <c r="U30" s="933"/>
      <c r="V30" s="934">
        <f>'IV. Кап. інвестиції'!F17</f>
        <v>0</v>
      </c>
      <c r="W30" s="935"/>
      <c r="X30" s="941">
        <f>'IV. Кап. інвестиції'!G17</f>
        <v>0</v>
      </c>
      <c r="Y30" s="942"/>
      <c r="Z30" s="941">
        <f>'IV. Кап. інвестиції'!H17</f>
        <v>0</v>
      </c>
      <c r="AA30" s="942"/>
      <c r="AB30" s="941">
        <f>'IV. Кап. інвестиції'!I17</f>
        <v>0</v>
      </c>
      <c r="AC30" s="942"/>
      <c r="AD30" s="941">
        <f>'IV. Кап. інвестиції'!J17</f>
        <v>0</v>
      </c>
      <c r="AE30" s="942"/>
    </row>
    <row r="31" spans="1:31" ht="126" customHeight="1">
      <c r="A31" s="218" t="s">
        <v>726</v>
      </c>
      <c r="B31" s="930" t="str">
        <f>'IV. Кап. інвестиції'!A16</f>
        <v>фінансування робіт з капітального ремонту та виготовлення проєктно-кошторисної документації: частини нежитлових   приміщень АЗПСМ 20 за адресою: вул. Тараса Бульби - Боровця,6.</v>
      </c>
      <c r="C31" s="930"/>
      <c r="D31" s="930"/>
      <c r="E31" s="930"/>
      <c r="F31" s="931"/>
      <c r="G31" s="82">
        <v>0</v>
      </c>
      <c r="H31" s="77"/>
      <c r="I31" s="77"/>
      <c r="J31" s="77"/>
      <c r="K31" s="77"/>
      <c r="L31" s="934">
        <f t="shared" si="0"/>
        <v>0</v>
      </c>
      <c r="M31" s="935"/>
      <c r="N31" s="932"/>
      <c r="O31" s="933"/>
      <c r="P31" s="932">
        <v>0</v>
      </c>
      <c r="Q31" s="933"/>
      <c r="R31" s="932"/>
      <c r="S31" s="933"/>
      <c r="T31" s="932"/>
      <c r="U31" s="933"/>
      <c r="V31" s="934">
        <f t="shared" si="1"/>
        <v>7000</v>
      </c>
      <c r="W31" s="935"/>
      <c r="X31" s="941">
        <f>'IV. Кап. інвестиції'!G16</f>
        <v>1400</v>
      </c>
      <c r="Y31" s="942"/>
      <c r="Z31" s="932">
        <f>'IV. Кап. інвестиції'!H16</f>
        <v>3313.8</v>
      </c>
      <c r="AA31" s="933"/>
      <c r="AB31" s="932">
        <f>'IV. Кап. інвестиції'!I16</f>
        <v>2286.1999999999998</v>
      </c>
      <c r="AC31" s="933"/>
      <c r="AD31" s="932">
        <f>'IV. Кап. інвестиції'!J16</f>
        <v>0</v>
      </c>
      <c r="AE31" s="933"/>
    </row>
    <row r="32" spans="1:31" ht="15.75" customHeight="1">
      <c r="A32" s="1054" t="s">
        <v>40</v>
      </c>
      <c r="B32" s="1055"/>
      <c r="C32" s="1055"/>
      <c r="D32" s="1055"/>
      <c r="E32" s="1055"/>
      <c r="F32" s="1056"/>
      <c r="G32" s="82">
        <f>SUM(G26:G26)</f>
        <v>0</v>
      </c>
      <c r="H32" s="82">
        <f>SUM(H26:H26)</f>
        <v>0</v>
      </c>
      <c r="I32" s="82">
        <f>SUM(I26:I26)</f>
        <v>0</v>
      </c>
      <c r="J32" s="82">
        <f>SUM(J26:J26)</f>
        <v>0</v>
      </c>
      <c r="K32" s="82">
        <f>SUM(K26:K26)</f>
        <v>0</v>
      </c>
      <c r="L32" s="934">
        <f t="shared" si="0"/>
        <v>0</v>
      </c>
      <c r="M32" s="935"/>
      <c r="N32" s="934">
        <f>SUM(N26:N26)</f>
        <v>0</v>
      </c>
      <c r="O32" s="935"/>
      <c r="P32" s="934">
        <f>P31</f>
        <v>0</v>
      </c>
      <c r="Q32" s="935"/>
      <c r="R32" s="934">
        <f>SUM(R26:R26)</f>
        <v>0</v>
      </c>
      <c r="S32" s="935"/>
      <c r="T32" s="934">
        <f>SUM(T26:T26)</f>
        <v>0</v>
      </c>
      <c r="U32" s="935"/>
      <c r="V32" s="934">
        <f>SUM(X32:AE32)</f>
        <v>10275.5</v>
      </c>
      <c r="W32" s="935"/>
      <c r="X32" s="934">
        <f>SUM(X25:Y29)</f>
        <v>2425.5</v>
      </c>
      <c r="Y32" s="935"/>
      <c r="Z32" s="934">
        <f>SUM(Z25:AA29)</f>
        <v>4563.8</v>
      </c>
      <c r="AA32" s="935"/>
      <c r="AB32" s="934">
        <f>SUM(AB25:AC29)</f>
        <v>3286.2</v>
      </c>
      <c r="AC32" s="935"/>
      <c r="AD32" s="934">
        <f>SUM(AD25:AE29)</f>
        <v>0</v>
      </c>
      <c r="AE32" s="935"/>
    </row>
    <row r="33" spans="1:31" ht="17.25" customHeight="1">
      <c r="A33" s="846" t="s">
        <v>41</v>
      </c>
      <c r="B33" s="716"/>
      <c r="C33" s="716"/>
      <c r="D33" s="716"/>
      <c r="E33" s="716"/>
      <c r="F33" s="847"/>
      <c r="G33" s="83"/>
      <c r="H33" s="84"/>
      <c r="I33" s="84"/>
      <c r="J33" s="84"/>
      <c r="K33" s="84"/>
      <c r="L33" s="1002"/>
      <c r="M33" s="938"/>
      <c r="N33" s="939"/>
      <c r="O33" s="940"/>
      <c r="P33" s="814"/>
      <c r="Q33" s="815"/>
      <c r="R33" s="814"/>
      <c r="S33" s="815"/>
      <c r="T33" s="814"/>
      <c r="U33" s="815"/>
      <c r="V33" s="937"/>
      <c r="W33" s="938"/>
      <c r="X33" s="939"/>
      <c r="Y33" s="940"/>
      <c r="Z33" s="814"/>
      <c r="AA33" s="815"/>
      <c r="AB33" s="814"/>
      <c r="AC33" s="815"/>
      <c r="AD33" s="814"/>
      <c r="AE33" s="815"/>
    </row>
    <row r="34" spans="1:31" ht="16.5" customHeight="1">
      <c r="A34" s="44"/>
      <c r="B34" s="956" t="s">
        <v>256</v>
      </c>
      <c r="C34" s="956"/>
      <c r="D34" s="956"/>
      <c r="E34" s="956"/>
      <c r="F34" s="956"/>
      <c r="G34" s="76"/>
      <c r="H34" s="76"/>
      <c r="I34" s="76"/>
      <c r="J34" s="76"/>
      <c r="K34" s="76"/>
      <c r="L34" s="76"/>
      <c r="M34" s="76"/>
      <c r="N34" s="76"/>
      <c r="O34" s="76"/>
      <c r="P34" s="76"/>
      <c r="Q34" s="76"/>
      <c r="R34" s="76"/>
      <c r="S34" s="44"/>
      <c r="T34" s="44"/>
      <c r="U34" s="44"/>
      <c r="V34" s="44"/>
      <c r="W34" s="76"/>
      <c r="X34" s="44"/>
      <c r="Y34" s="44"/>
      <c r="Z34" s="44"/>
      <c r="AA34" s="44"/>
    </row>
    <row r="35" spans="1:31" ht="21.75" customHeight="1">
      <c r="A35" s="823" t="s">
        <v>37</v>
      </c>
      <c r="B35" s="951" t="s">
        <v>159</v>
      </c>
      <c r="C35" s="952"/>
      <c r="D35" s="952"/>
      <c r="E35" s="952"/>
      <c r="F35" s="952"/>
      <c r="G35" s="734" t="s">
        <v>242</v>
      </c>
      <c r="H35" s="734"/>
      <c r="I35" s="734"/>
      <c r="J35" s="734"/>
      <c r="K35" s="734"/>
      <c r="L35" s="719" t="s">
        <v>592</v>
      </c>
      <c r="M35" s="712"/>
      <c r="N35" s="712"/>
      <c r="O35" s="712"/>
      <c r="P35" s="712"/>
      <c r="Q35" s="712"/>
      <c r="R35" s="712"/>
      <c r="S35" s="712"/>
      <c r="T35" s="712"/>
      <c r="U35" s="713"/>
      <c r="V35" s="719" t="s">
        <v>241</v>
      </c>
      <c r="W35" s="712"/>
      <c r="X35" s="712"/>
      <c r="Y35" s="712"/>
      <c r="Z35" s="712"/>
      <c r="AA35" s="712"/>
      <c r="AB35" s="712"/>
      <c r="AC35" s="712"/>
      <c r="AD35" s="712"/>
      <c r="AE35" s="713"/>
    </row>
    <row r="36" spans="1:31" ht="20.25" customHeight="1">
      <c r="A36" s="946"/>
      <c r="B36" s="953"/>
      <c r="C36" s="827"/>
      <c r="D36" s="827"/>
      <c r="E36" s="827"/>
      <c r="F36" s="827"/>
      <c r="G36" s="734" t="s">
        <v>62</v>
      </c>
      <c r="H36" s="733" t="s">
        <v>73</v>
      </c>
      <c r="I36" s="733"/>
      <c r="J36" s="733"/>
      <c r="K36" s="733"/>
      <c r="L36" s="734" t="s">
        <v>62</v>
      </c>
      <c r="M36" s="957"/>
      <c r="N36" s="943" t="s">
        <v>73</v>
      </c>
      <c r="O36" s="944"/>
      <c r="P36" s="944"/>
      <c r="Q36" s="944"/>
      <c r="R36" s="944"/>
      <c r="S36" s="944"/>
      <c r="T36" s="944"/>
      <c r="U36" s="945"/>
      <c r="V36" s="734" t="s">
        <v>62</v>
      </c>
      <c r="W36" s="957"/>
      <c r="X36" s="943" t="s">
        <v>73</v>
      </c>
      <c r="Y36" s="944"/>
      <c r="Z36" s="944"/>
      <c r="AA36" s="944"/>
      <c r="AB36" s="944"/>
      <c r="AC36" s="944"/>
      <c r="AD36" s="944"/>
      <c r="AE36" s="945"/>
    </row>
    <row r="37" spans="1:31" ht="24.6" customHeight="1">
      <c r="A37" s="947"/>
      <c r="B37" s="954"/>
      <c r="C37" s="955"/>
      <c r="D37" s="955"/>
      <c r="E37" s="955"/>
      <c r="F37" s="955"/>
      <c r="G37" s="734"/>
      <c r="H37" s="7" t="s">
        <v>57</v>
      </c>
      <c r="I37" s="7" t="s">
        <v>58</v>
      </c>
      <c r="J37" s="7" t="s">
        <v>56</v>
      </c>
      <c r="K37" s="7" t="s">
        <v>55</v>
      </c>
      <c r="L37" s="957"/>
      <c r="M37" s="957"/>
      <c r="N37" s="734" t="s">
        <v>57</v>
      </c>
      <c r="O37" s="734"/>
      <c r="P37" s="734" t="s">
        <v>239</v>
      </c>
      <c r="Q37" s="734"/>
      <c r="R37" s="734" t="s">
        <v>240</v>
      </c>
      <c r="S37" s="734"/>
      <c r="T37" s="734" t="s">
        <v>55</v>
      </c>
      <c r="U37" s="734"/>
      <c r="V37" s="957"/>
      <c r="W37" s="957"/>
      <c r="X37" s="734" t="s">
        <v>57</v>
      </c>
      <c r="Y37" s="734"/>
      <c r="Z37" s="734" t="s">
        <v>239</v>
      </c>
      <c r="AA37" s="734"/>
      <c r="AB37" s="734" t="s">
        <v>240</v>
      </c>
      <c r="AC37" s="734"/>
      <c r="AD37" s="734" t="s">
        <v>55</v>
      </c>
      <c r="AE37" s="734"/>
    </row>
    <row r="38" spans="1:31" ht="12" customHeight="1">
      <c r="A38" s="98"/>
      <c r="B38" s="757"/>
      <c r="C38" s="757"/>
      <c r="D38" s="757"/>
      <c r="E38" s="757"/>
      <c r="F38" s="757"/>
      <c r="G38" s="98">
        <v>18</v>
      </c>
      <c r="H38" s="98">
        <v>19</v>
      </c>
      <c r="I38" s="98">
        <v>20</v>
      </c>
      <c r="J38" s="98">
        <v>21</v>
      </c>
      <c r="K38" s="98">
        <v>22</v>
      </c>
      <c r="L38" s="754">
        <v>23</v>
      </c>
      <c r="M38" s="936"/>
      <c r="N38" s="754">
        <v>24</v>
      </c>
      <c r="O38" s="936"/>
      <c r="P38" s="754">
        <v>25</v>
      </c>
      <c r="Q38" s="936"/>
      <c r="R38" s="754">
        <v>26</v>
      </c>
      <c r="S38" s="936"/>
      <c r="T38" s="754">
        <v>27</v>
      </c>
      <c r="U38" s="936"/>
      <c r="V38" s="754">
        <v>28</v>
      </c>
      <c r="W38" s="936"/>
      <c r="X38" s="754">
        <v>29</v>
      </c>
      <c r="Y38" s="936"/>
      <c r="Z38" s="754">
        <v>30</v>
      </c>
      <c r="AA38" s="936"/>
      <c r="AB38" s="754">
        <v>31</v>
      </c>
      <c r="AC38" s="936"/>
      <c r="AD38" s="754">
        <v>32</v>
      </c>
      <c r="AE38" s="936"/>
    </row>
    <row r="39" spans="1:31" ht="42.75" customHeight="1">
      <c r="A39" s="219">
        <v>1</v>
      </c>
      <c r="B39" s="948" t="s">
        <v>541</v>
      </c>
      <c r="C39" s="949"/>
      <c r="D39" s="949"/>
      <c r="E39" s="949"/>
      <c r="F39" s="950"/>
      <c r="G39" s="203"/>
      <c r="H39" s="204"/>
      <c r="I39" s="204"/>
      <c r="J39" s="204"/>
      <c r="K39" s="204"/>
      <c r="L39" s="216"/>
      <c r="M39" s="217"/>
      <c r="N39" s="932"/>
      <c r="O39" s="933"/>
      <c r="P39" s="932"/>
      <c r="Q39" s="933"/>
      <c r="R39" s="932"/>
      <c r="S39" s="933"/>
      <c r="T39" s="932"/>
      <c r="U39" s="933"/>
      <c r="V39" s="934">
        <f>V25+M39</f>
        <v>0</v>
      </c>
      <c r="W39" s="935"/>
      <c r="X39" s="934">
        <f>X25</f>
        <v>0</v>
      </c>
      <c r="Y39" s="935"/>
      <c r="Z39" s="934">
        <f>Z25</f>
        <v>0</v>
      </c>
      <c r="AA39" s="935"/>
      <c r="AB39" s="934">
        <f>AB25</f>
        <v>0</v>
      </c>
      <c r="AC39" s="935"/>
      <c r="AD39" s="934">
        <f>AD25</f>
        <v>0</v>
      </c>
      <c r="AE39" s="935"/>
    </row>
    <row r="40" spans="1:31" ht="58.5" customHeight="1">
      <c r="A40" s="219">
        <v>2</v>
      </c>
      <c r="B40" s="771" t="str">
        <f t="shared" ref="B40:B45" si="2">B26</f>
        <v>придбання (виготовлення) основних засобів (комп'ютерна техніка,медичне обладнання тощо)</v>
      </c>
      <c r="C40" s="771"/>
      <c r="D40" s="771"/>
      <c r="E40" s="771"/>
      <c r="F40" s="771"/>
      <c r="G40" s="203">
        <v>0</v>
      </c>
      <c r="H40" s="204"/>
      <c r="I40" s="204"/>
      <c r="J40" s="204"/>
      <c r="K40" s="204"/>
      <c r="L40" s="934">
        <f>SUM(N40:U40)</f>
        <v>0</v>
      </c>
      <c r="M40" s="935"/>
      <c r="N40" s="932">
        <f>'IV. Кап. інвестиції'!G9</f>
        <v>0</v>
      </c>
      <c r="O40" s="933"/>
      <c r="P40" s="932">
        <f>'IV. Кап. інвестиції'!H9</f>
        <v>0</v>
      </c>
      <c r="Q40" s="933"/>
      <c r="R40" s="932">
        <f>'IV. Кап. інвестиції'!I9</f>
        <v>0</v>
      </c>
      <c r="S40" s="933"/>
      <c r="T40" s="932">
        <f>'IV. Кап. інвестиції'!J9</f>
        <v>0</v>
      </c>
      <c r="U40" s="933"/>
      <c r="V40" s="934">
        <f>V26+L40</f>
        <v>1350</v>
      </c>
      <c r="W40" s="935"/>
      <c r="X40" s="934">
        <f>X26+N40</f>
        <v>850</v>
      </c>
      <c r="Y40" s="935"/>
      <c r="Z40" s="934">
        <f>Z26+P40</f>
        <v>500</v>
      </c>
      <c r="AA40" s="935"/>
      <c r="AB40" s="934">
        <f>AB26+R40</f>
        <v>0</v>
      </c>
      <c r="AC40" s="935"/>
      <c r="AD40" s="934">
        <f>AD26+T40</f>
        <v>0</v>
      </c>
      <c r="AE40" s="935"/>
    </row>
    <row r="41" spans="1:31" ht="60" customHeight="1">
      <c r="A41" s="220">
        <v>3</v>
      </c>
      <c r="B41" s="1053" t="str">
        <f t="shared" si="2"/>
        <v>придбання (виготовлення) інших необоротних матеріальних активів  (меблі, вироби медичного призначення, тощо)</v>
      </c>
      <c r="C41" s="1053"/>
      <c r="D41" s="1053"/>
      <c r="E41" s="1053"/>
      <c r="F41" s="1053"/>
      <c r="G41" s="203">
        <f>SUM(H41:K41)</f>
        <v>0</v>
      </c>
      <c r="H41" s="204"/>
      <c r="I41" s="204"/>
      <c r="J41" s="204"/>
      <c r="K41" s="204"/>
      <c r="L41" s="934">
        <f>SUM(N41:U41)</f>
        <v>0</v>
      </c>
      <c r="M41" s="935"/>
      <c r="N41" s="932">
        <f>'IV. Кап. інвестиції'!G12</f>
        <v>0</v>
      </c>
      <c r="O41" s="933"/>
      <c r="P41" s="932">
        <f>'IV. Кап. інвестиції'!H12</f>
        <v>0</v>
      </c>
      <c r="Q41" s="933"/>
      <c r="R41" s="932">
        <f>'IV. Кап. інвестиції'!I12</f>
        <v>0</v>
      </c>
      <c r="S41" s="933"/>
      <c r="T41" s="932">
        <f>'IV. Кап. інвестиції'!J12</f>
        <v>0</v>
      </c>
      <c r="U41" s="933"/>
      <c r="V41" s="934">
        <f>X41+Z41+AB41+AD41</f>
        <v>1925.5</v>
      </c>
      <c r="W41" s="935"/>
      <c r="X41" s="934">
        <f>X27+N41</f>
        <v>175.5</v>
      </c>
      <c r="Y41" s="935"/>
      <c r="Z41" s="934">
        <f>Z27+P41</f>
        <v>750</v>
      </c>
      <c r="AA41" s="935"/>
      <c r="AB41" s="934">
        <f>AB27+R41</f>
        <v>1000</v>
      </c>
      <c r="AC41" s="935"/>
      <c r="AD41" s="934">
        <f>AD27+T41</f>
        <v>0</v>
      </c>
      <c r="AE41" s="935"/>
    </row>
    <row r="42" spans="1:31" ht="70.5" customHeight="1">
      <c r="A42" s="220">
        <f>A41+1</f>
        <v>4</v>
      </c>
      <c r="B42" s="1053" t="str">
        <f t="shared" si="2"/>
        <v xml:space="preserve">придбання (створення) нематеріальних активів  </v>
      </c>
      <c r="C42" s="1053"/>
      <c r="D42" s="1053"/>
      <c r="E42" s="1053"/>
      <c r="F42" s="1053"/>
      <c r="G42" s="203"/>
      <c r="H42" s="204"/>
      <c r="I42" s="204"/>
      <c r="J42" s="204"/>
      <c r="K42" s="204"/>
      <c r="L42" s="216"/>
      <c r="M42" s="217"/>
      <c r="N42" s="932"/>
      <c r="O42" s="933"/>
      <c r="P42" s="932"/>
      <c r="Q42" s="933"/>
      <c r="R42" s="932"/>
      <c r="S42" s="933"/>
      <c r="T42" s="932"/>
      <c r="U42" s="933"/>
      <c r="V42" s="934">
        <f>X42+Z42+AB42+AD42</f>
        <v>0</v>
      </c>
      <c r="W42" s="935"/>
      <c r="X42" s="934">
        <f>X28</f>
        <v>0</v>
      </c>
      <c r="Y42" s="935"/>
      <c r="Z42" s="934">
        <f>Z28</f>
        <v>0</v>
      </c>
      <c r="AA42" s="935"/>
      <c r="AB42" s="934">
        <f>AB28</f>
        <v>0</v>
      </c>
      <c r="AC42" s="935"/>
      <c r="AD42" s="934">
        <f>AD28</f>
        <v>0</v>
      </c>
      <c r="AE42" s="935"/>
    </row>
    <row r="43" spans="1:31" ht="50.25" customHeight="1">
      <c r="A43" s="219">
        <f>A42+1</f>
        <v>5</v>
      </c>
      <c r="B43" s="1053" t="str">
        <f t="shared" si="2"/>
        <v xml:space="preserve">модернізація, модифікація (добудова, дообладнання, реконструкція) основних засобів  </v>
      </c>
      <c r="C43" s="1053"/>
      <c r="D43" s="1053"/>
      <c r="E43" s="1053"/>
      <c r="F43" s="1053"/>
      <c r="G43" s="203"/>
      <c r="H43" s="204"/>
      <c r="I43" s="204"/>
      <c r="J43" s="204"/>
      <c r="K43" s="204"/>
      <c r="L43" s="216"/>
      <c r="M43" s="217"/>
      <c r="N43" s="932"/>
      <c r="O43" s="933"/>
      <c r="P43" s="932"/>
      <c r="Q43" s="933"/>
      <c r="R43" s="932"/>
      <c r="S43" s="933"/>
      <c r="T43" s="932"/>
      <c r="U43" s="933"/>
      <c r="V43" s="934">
        <f>X43+Z43+AB43+AD43</f>
        <v>7000</v>
      </c>
      <c r="W43" s="935"/>
      <c r="X43" s="934">
        <f>X29</f>
        <v>1400</v>
      </c>
      <c r="Y43" s="935"/>
      <c r="Z43" s="934">
        <f>Z29+P29+P43</f>
        <v>3313.8</v>
      </c>
      <c r="AA43" s="935"/>
      <c r="AB43" s="934">
        <f>AB29</f>
        <v>2286.1999999999998</v>
      </c>
      <c r="AC43" s="935"/>
      <c r="AD43" s="934">
        <f>AD29</f>
        <v>0</v>
      </c>
      <c r="AE43" s="935"/>
    </row>
    <row r="44" spans="1:31" ht="57.75" hidden="1" customHeight="1">
      <c r="A44" s="218" t="s">
        <v>542</v>
      </c>
      <c r="B44" s="1053" t="str">
        <f t="shared" si="2"/>
        <v>виготовлення проєктно-кошторисної документації на капітальний ремонт амбулаторій за адресою пл.Польова,2</v>
      </c>
      <c r="C44" s="1053"/>
      <c r="D44" s="1053"/>
      <c r="E44" s="1053"/>
      <c r="F44" s="1053"/>
      <c r="G44" s="203"/>
      <c r="H44" s="204"/>
      <c r="I44" s="204"/>
      <c r="J44" s="204"/>
      <c r="K44" s="204"/>
      <c r="L44" s="216"/>
      <c r="M44" s="217"/>
      <c r="N44" s="932"/>
      <c r="O44" s="933"/>
      <c r="P44" s="932"/>
      <c r="Q44" s="933"/>
      <c r="R44" s="932"/>
      <c r="S44" s="933"/>
      <c r="T44" s="932"/>
      <c r="U44" s="933"/>
      <c r="V44" s="934">
        <f>X44+Z44+AB44+AD44</f>
        <v>0</v>
      </c>
      <c r="W44" s="935"/>
      <c r="X44" s="934">
        <f>X30</f>
        <v>0</v>
      </c>
      <c r="Y44" s="935"/>
      <c r="Z44" s="934">
        <f>Z30</f>
        <v>0</v>
      </c>
      <c r="AA44" s="935"/>
      <c r="AB44" s="934">
        <f>AB30</f>
        <v>0</v>
      </c>
      <c r="AC44" s="935"/>
      <c r="AD44" s="934">
        <f>AD30</f>
        <v>0</v>
      </c>
      <c r="AE44" s="935"/>
    </row>
    <row r="45" spans="1:31" ht="88.5" customHeight="1">
      <c r="A45" s="218" t="s">
        <v>726</v>
      </c>
      <c r="B45" s="1053" t="str">
        <f t="shared" si="2"/>
        <v>фінансування робіт з капітального ремонту та виготовлення проєктно-кошторисної документації: частини нежитлових   приміщень АЗПСМ 20 за адресою: вул. Тараса Бульби - Боровця,6.</v>
      </c>
      <c r="C45" s="1053"/>
      <c r="D45" s="1053"/>
      <c r="E45" s="1053"/>
      <c r="F45" s="1053"/>
      <c r="G45" s="203">
        <f>SUM(H45:K45)</f>
        <v>0</v>
      </c>
      <c r="H45" s="204"/>
      <c r="I45" s="204"/>
      <c r="J45" s="204"/>
      <c r="K45" s="204"/>
      <c r="L45" s="934">
        <f>SUM(N45:U45)</f>
        <v>0</v>
      </c>
      <c r="M45" s="935"/>
      <c r="N45" s="932"/>
      <c r="O45" s="933"/>
      <c r="P45" s="932"/>
      <c r="Q45" s="933"/>
      <c r="R45" s="932"/>
      <c r="S45" s="933"/>
      <c r="T45" s="932"/>
      <c r="U45" s="933"/>
      <c r="V45" s="934">
        <f>X45+Z45+AB45+AD45</f>
        <v>7000</v>
      </c>
      <c r="W45" s="935"/>
      <c r="X45" s="934">
        <f>X31</f>
        <v>1400</v>
      </c>
      <c r="Y45" s="935"/>
      <c r="Z45" s="934">
        <f>Z31+P31+P45</f>
        <v>3313.8</v>
      </c>
      <c r="AA45" s="935"/>
      <c r="AB45" s="934">
        <f>AB31</f>
        <v>2286.1999999999998</v>
      </c>
      <c r="AC45" s="935"/>
      <c r="AD45" s="934">
        <f>AD31</f>
        <v>0</v>
      </c>
      <c r="AE45" s="935"/>
    </row>
    <row r="46" spans="1:31" ht="21" customHeight="1">
      <c r="A46" s="1054" t="s">
        <v>40</v>
      </c>
      <c r="B46" s="1055"/>
      <c r="C46" s="1055"/>
      <c r="D46" s="1055"/>
      <c r="E46" s="1055"/>
      <c r="F46" s="1056"/>
      <c r="G46" s="203">
        <f>SUM(H46:K46)</f>
        <v>0</v>
      </c>
      <c r="H46" s="195">
        <f>SUM(H40:H40)</f>
        <v>0</v>
      </c>
      <c r="I46" s="195">
        <f>SUM(I40:I40)</f>
        <v>0</v>
      </c>
      <c r="J46" s="195">
        <f>SUM(J40:J40)</f>
        <v>0</v>
      </c>
      <c r="K46" s="195">
        <f>SUM(K40:K40)</f>
        <v>0</v>
      </c>
      <c r="L46" s="934">
        <f>SUM(N46:U46)</f>
        <v>0</v>
      </c>
      <c r="M46" s="935"/>
      <c r="N46" s="934">
        <f>SUM(N40:N41)</f>
        <v>0</v>
      </c>
      <c r="O46" s="935"/>
      <c r="P46" s="934">
        <f>SUM(P40:P41)</f>
        <v>0</v>
      </c>
      <c r="Q46" s="935"/>
      <c r="R46" s="934">
        <f>SUM(R40:R41)</f>
        <v>0</v>
      </c>
      <c r="S46" s="935"/>
      <c r="T46" s="934">
        <f>SUM(T40:T41)</f>
        <v>0</v>
      </c>
      <c r="U46" s="935"/>
      <c r="V46" s="934">
        <f>V40+V41+V42+V43+V39</f>
        <v>10275.5</v>
      </c>
      <c r="W46" s="935"/>
      <c r="X46" s="934">
        <f>X40+X41+X42+X43+X39</f>
        <v>2425.5</v>
      </c>
      <c r="Y46" s="935"/>
      <c r="Z46" s="934">
        <f>Z40+Z41+Z42+Z43+Z39</f>
        <v>4563.8</v>
      </c>
      <c r="AA46" s="935"/>
      <c r="AB46" s="934">
        <f>AB40+AB41+AB42+AB43+AB39</f>
        <v>3286.2</v>
      </c>
      <c r="AC46" s="935"/>
      <c r="AD46" s="934">
        <f>AD40+AD41+AD42+AD43+AD39</f>
        <v>0</v>
      </c>
      <c r="AE46" s="935"/>
    </row>
    <row r="47" spans="1:31" ht="15.75" customHeight="1">
      <c r="A47" s="846" t="s">
        <v>41</v>
      </c>
      <c r="B47" s="716"/>
      <c r="C47" s="716"/>
      <c r="D47" s="716"/>
      <c r="E47" s="716"/>
      <c r="F47" s="847"/>
      <c r="G47" s="10"/>
      <c r="H47" s="10"/>
      <c r="I47" s="10"/>
      <c r="J47" s="10"/>
      <c r="K47" s="10"/>
      <c r="L47" s="1002"/>
      <c r="M47" s="938"/>
      <c r="N47" s="939"/>
      <c r="O47" s="940"/>
      <c r="P47" s="814"/>
      <c r="Q47" s="815"/>
      <c r="R47" s="814"/>
      <c r="S47" s="815"/>
      <c r="T47" s="814"/>
      <c r="U47" s="815"/>
      <c r="V47" s="1002"/>
      <c r="W47" s="938"/>
      <c r="X47" s="939"/>
      <c r="Y47" s="940"/>
      <c r="Z47" s="814"/>
      <c r="AA47" s="815"/>
      <c r="AB47" s="814"/>
      <c r="AC47" s="815"/>
      <c r="AD47" s="814"/>
      <c r="AE47" s="815"/>
    </row>
    <row r="48" spans="1:31" ht="9" customHeight="1">
      <c r="A48" s="44"/>
      <c r="B48" s="44"/>
      <c r="C48" s="76"/>
      <c r="D48" s="76"/>
      <c r="E48" s="76"/>
      <c r="F48" s="76"/>
      <c r="G48" s="76"/>
      <c r="H48" s="76"/>
      <c r="I48" s="76"/>
      <c r="J48" s="76"/>
      <c r="K48" s="76"/>
      <c r="L48" s="76"/>
      <c r="M48" s="76"/>
      <c r="N48" s="76"/>
      <c r="O48" s="76"/>
      <c r="P48" s="76"/>
      <c r="Q48" s="76"/>
      <c r="R48" s="76"/>
      <c r="S48" s="44"/>
      <c r="T48" s="44"/>
      <c r="U48" s="44"/>
      <c r="V48" s="44"/>
      <c r="W48" s="76"/>
      <c r="X48" s="44"/>
      <c r="Y48" s="44"/>
      <c r="Z48" s="44"/>
      <c r="AA48" s="44"/>
    </row>
    <row r="49" spans="1:31" s="32" customFormat="1" ht="21.75" customHeight="1">
      <c r="B49" s="32" t="s">
        <v>254</v>
      </c>
    </row>
    <row r="50" spans="1:31" s="62" customFormat="1" ht="9.75" customHeight="1">
      <c r="A50" s="2"/>
      <c r="B50" s="2"/>
      <c r="C50" s="2"/>
      <c r="D50" s="2"/>
      <c r="E50" s="2"/>
      <c r="F50" s="2"/>
      <c r="G50" s="2"/>
      <c r="H50" s="2"/>
      <c r="I50" s="2"/>
      <c r="K50" s="2"/>
      <c r="AD50" s="61" t="s">
        <v>158</v>
      </c>
    </row>
    <row r="51" spans="1:31" s="63" customFormat="1" ht="23.25" customHeight="1">
      <c r="A51" s="805" t="s">
        <v>141</v>
      </c>
      <c r="B51" s="734" t="s">
        <v>185</v>
      </c>
      <c r="C51" s="733" t="s">
        <v>201</v>
      </c>
      <c r="D51" s="733"/>
      <c r="E51" s="733" t="s">
        <v>142</v>
      </c>
      <c r="F51" s="733"/>
      <c r="G51" s="733" t="s">
        <v>143</v>
      </c>
      <c r="H51" s="733"/>
      <c r="I51" s="733" t="s">
        <v>179</v>
      </c>
      <c r="J51" s="733"/>
      <c r="K51" s="733" t="s">
        <v>98</v>
      </c>
      <c r="L51" s="733"/>
      <c r="M51" s="733"/>
      <c r="N51" s="733"/>
      <c r="O51" s="733"/>
      <c r="P51" s="733"/>
      <c r="Q51" s="733"/>
      <c r="R51" s="733"/>
      <c r="S51" s="733"/>
      <c r="T51" s="733"/>
      <c r="U51" s="733" t="s">
        <v>202</v>
      </c>
      <c r="V51" s="733"/>
      <c r="W51" s="733"/>
      <c r="X51" s="733"/>
      <c r="Y51" s="733"/>
      <c r="Z51" s="733" t="s">
        <v>183</v>
      </c>
      <c r="AA51" s="733"/>
      <c r="AB51" s="733"/>
      <c r="AC51" s="733"/>
      <c r="AD51" s="733"/>
      <c r="AE51" s="733"/>
    </row>
    <row r="52" spans="1:31" s="63" customFormat="1" ht="24" customHeight="1">
      <c r="A52" s="805"/>
      <c r="B52" s="734"/>
      <c r="C52" s="733"/>
      <c r="D52" s="733"/>
      <c r="E52" s="733"/>
      <c r="F52" s="733"/>
      <c r="G52" s="733"/>
      <c r="H52" s="733"/>
      <c r="I52" s="733"/>
      <c r="J52" s="733"/>
      <c r="K52" s="733" t="s">
        <v>213</v>
      </c>
      <c r="L52" s="733"/>
      <c r="M52" s="1059" t="s">
        <v>214</v>
      </c>
      <c r="N52" s="1060"/>
      <c r="O52" s="733" t="s">
        <v>200</v>
      </c>
      <c r="P52" s="733"/>
      <c r="Q52" s="733"/>
      <c r="R52" s="733"/>
      <c r="S52" s="733"/>
      <c r="T52" s="733"/>
      <c r="U52" s="733"/>
      <c r="V52" s="733"/>
      <c r="W52" s="733"/>
      <c r="X52" s="733"/>
      <c r="Y52" s="733"/>
      <c r="Z52" s="733"/>
      <c r="AA52" s="733"/>
      <c r="AB52" s="733"/>
      <c r="AC52" s="733"/>
      <c r="AD52" s="733"/>
      <c r="AE52" s="733"/>
    </row>
    <row r="53" spans="1:31" s="64" customFormat="1" ht="105" customHeight="1">
      <c r="A53" s="805"/>
      <c r="B53" s="734"/>
      <c r="C53" s="733"/>
      <c r="D53" s="733"/>
      <c r="E53" s="733"/>
      <c r="F53" s="733"/>
      <c r="G53" s="733"/>
      <c r="H53" s="733"/>
      <c r="I53" s="733"/>
      <c r="J53" s="733"/>
      <c r="K53" s="733"/>
      <c r="L53" s="733"/>
      <c r="M53" s="1061"/>
      <c r="N53" s="1062"/>
      <c r="O53" s="733" t="s">
        <v>180</v>
      </c>
      <c r="P53" s="733"/>
      <c r="Q53" s="733" t="s">
        <v>181</v>
      </c>
      <c r="R53" s="733"/>
      <c r="S53" s="733" t="s">
        <v>182</v>
      </c>
      <c r="T53" s="733"/>
      <c r="U53" s="733"/>
      <c r="V53" s="733"/>
      <c r="W53" s="733"/>
      <c r="X53" s="733"/>
      <c r="Y53" s="733"/>
      <c r="Z53" s="733"/>
      <c r="AA53" s="733"/>
      <c r="AB53" s="733"/>
      <c r="AC53" s="733"/>
      <c r="AD53" s="733"/>
      <c r="AE53" s="733"/>
    </row>
    <row r="54" spans="1:31" s="63" customFormat="1" ht="12" customHeight="1">
      <c r="A54" s="96">
        <v>1</v>
      </c>
      <c r="B54" s="92">
        <v>2</v>
      </c>
      <c r="C54" s="770">
        <v>3</v>
      </c>
      <c r="D54" s="770"/>
      <c r="E54" s="770">
        <v>4</v>
      </c>
      <c r="F54" s="770"/>
      <c r="G54" s="770">
        <v>5</v>
      </c>
      <c r="H54" s="770"/>
      <c r="I54" s="770">
        <v>6</v>
      </c>
      <c r="J54" s="770"/>
      <c r="K54" s="1003">
        <v>7</v>
      </c>
      <c r="L54" s="1004"/>
      <c r="M54" s="1003">
        <v>8</v>
      </c>
      <c r="N54" s="1004"/>
      <c r="O54" s="770">
        <v>9</v>
      </c>
      <c r="P54" s="770"/>
      <c r="Q54" s="805">
        <v>10</v>
      </c>
      <c r="R54" s="805"/>
      <c r="S54" s="770">
        <v>11</v>
      </c>
      <c r="T54" s="770"/>
      <c r="U54" s="770">
        <v>12</v>
      </c>
      <c r="V54" s="770"/>
      <c r="W54" s="770"/>
      <c r="X54" s="770"/>
      <c r="Y54" s="770"/>
      <c r="Z54" s="770">
        <v>13</v>
      </c>
      <c r="AA54" s="770"/>
      <c r="AB54" s="770"/>
      <c r="AC54" s="770"/>
      <c r="AD54" s="770"/>
      <c r="AE54" s="770"/>
    </row>
    <row r="55" spans="1:31" s="63" customFormat="1" ht="30" customHeight="1">
      <c r="A55" s="77"/>
      <c r="B55" s="176"/>
      <c r="C55" s="1016"/>
      <c r="D55" s="1017"/>
      <c r="E55" s="814"/>
      <c r="F55" s="815"/>
      <c r="G55" s="841"/>
      <c r="H55" s="841"/>
      <c r="I55" s="841"/>
      <c r="J55" s="841"/>
      <c r="K55" s="814"/>
      <c r="L55" s="815"/>
      <c r="M55" s="1019"/>
      <c r="N55" s="1020"/>
      <c r="O55" s="1057"/>
      <c r="P55" s="1057"/>
      <c r="Q55" s="841"/>
      <c r="R55" s="841"/>
      <c r="S55" s="841"/>
      <c r="T55" s="841"/>
      <c r="U55" s="1018"/>
      <c r="V55" s="1018"/>
      <c r="W55" s="1018"/>
      <c r="X55" s="1018"/>
      <c r="Y55" s="1018"/>
      <c r="Z55" s="1015"/>
      <c r="AA55" s="1015"/>
      <c r="AB55" s="1015"/>
      <c r="AC55" s="1015"/>
      <c r="AD55" s="1015"/>
      <c r="AE55" s="1015"/>
    </row>
    <row r="56" spans="1:31" s="63" customFormat="1" ht="27" hidden="1" customHeight="1">
      <c r="A56" s="77"/>
      <c r="B56" s="175"/>
      <c r="C56" s="840"/>
      <c r="D56" s="840"/>
      <c r="E56" s="841"/>
      <c r="F56" s="841"/>
      <c r="G56" s="841"/>
      <c r="H56" s="841"/>
      <c r="I56" s="841"/>
      <c r="J56" s="841"/>
      <c r="K56" s="814"/>
      <c r="L56" s="815"/>
      <c r="M56" s="1019"/>
      <c r="N56" s="1020"/>
      <c r="O56" s="1057"/>
      <c r="P56" s="1057"/>
      <c r="Q56" s="841"/>
      <c r="R56" s="841"/>
      <c r="S56" s="841"/>
      <c r="T56" s="841"/>
      <c r="U56" s="999"/>
      <c r="V56" s="999"/>
      <c r="W56" s="999"/>
      <c r="X56" s="999"/>
      <c r="Y56" s="999"/>
      <c r="Z56" s="1015"/>
      <c r="AA56" s="1015"/>
      <c r="AB56" s="1015"/>
      <c r="AC56" s="1015"/>
      <c r="AD56" s="1015"/>
      <c r="AE56" s="1015"/>
    </row>
    <row r="57" spans="1:31" s="63" customFormat="1" ht="24.95" customHeight="1">
      <c r="A57" s="846" t="s">
        <v>40</v>
      </c>
      <c r="B57" s="716"/>
      <c r="C57" s="716"/>
      <c r="D57" s="847"/>
      <c r="E57" s="963">
        <f>SUM(E55:F55)</f>
        <v>0</v>
      </c>
      <c r="F57" s="963"/>
      <c r="G57" s="963">
        <f>SUM(G55:H55)</f>
        <v>0</v>
      </c>
      <c r="H57" s="963"/>
      <c r="I57" s="963">
        <f>SUM(I55:J55)</f>
        <v>0</v>
      </c>
      <c r="J57" s="963"/>
      <c r="K57" s="1058">
        <f>SUM(K55:L56)</f>
        <v>0</v>
      </c>
      <c r="L57" s="1058"/>
      <c r="M57" s="1058">
        <f>SUM(M55:N56)</f>
        <v>0</v>
      </c>
      <c r="N57" s="1058"/>
      <c r="O57" s="1058">
        <f>SUM(O55:P56)</f>
        <v>0</v>
      </c>
      <c r="P57" s="1058"/>
      <c r="Q57" s="963">
        <f>SUM(Q55:R55)</f>
        <v>0</v>
      </c>
      <c r="R57" s="963"/>
      <c r="S57" s="963">
        <f>SUM(S55:T55)</f>
        <v>0</v>
      </c>
      <c r="T57" s="963"/>
      <c r="U57" s="999"/>
      <c r="V57" s="999"/>
      <c r="W57" s="999"/>
      <c r="X57" s="999"/>
      <c r="Y57" s="999"/>
      <c r="Z57" s="1015"/>
      <c r="AA57" s="1015"/>
      <c r="AB57" s="1015"/>
      <c r="AC57" s="1015"/>
      <c r="AD57" s="1015"/>
      <c r="AE57" s="1015"/>
    </row>
    <row r="58" spans="1:31" s="63" customFormat="1" ht="72" customHeight="1">
      <c r="A58" s="23"/>
      <c r="B58" s="23"/>
      <c r="C58" s="23"/>
      <c r="D58" s="23"/>
      <c r="E58" s="113"/>
      <c r="F58" s="113"/>
      <c r="G58" s="113"/>
      <c r="H58" s="113"/>
      <c r="I58" s="113"/>
      <c r="J58" s="113"/>
      <c r="K58" s="113"/>
      <c r="L58" s="113"/>
      <c r="M58" s="113"/>
      <c r="N58" s="113"/>
      <c r="O58" s="113"/>
      <c r="P58" s="113"/>
      <c r="Q58" s="113"/>
      <c r="R58" s="113"/>
      <c r="S58" s="113"/>
      <c r="T58" s="113"/>
      <c r="U58" s="111"/>
      <c r="V58" s="111"/>
      <c r="W58" s="111"/>
      <c r="X58" s="111"/>
      <c r="Y58" s="111"/>
      <c r="Z58" s="112"/>
      <c r="AA58" s="112"/>
      <c r="AB58" s="112"/>
      <c r="AC58" s="112"/>
      <c r="AD58" s="112"/>
      <c r="AE58" s="112"/>
    </row>
    <row r="59" spans="1:31" s="63" customFormat="1" ht="24" customHeight="1">
      <c r="A59" s="23"/>
      <c r="B59" s="816" t="s">
        <v>255</v>
      </c>
      <c r="C59" s="816"/>
      <c r="D59" s="816"/>
      <c r="E59" s="816"/>
      <c r="F59" s="816"/>
      <c r="G59" s="816"/>
      <c r="H59" s="816"/>
      <c r="I59" s="816"/>
      <c r="J59" s="816"/>
      <c r="K59" s="816"/>
      <c r="L59" s="816"/>
      <c r="M59" s="816"/>
      <c r="N59" s="816"/>
      <c r="O59" s="816"/>
      <c r="P59" s="816"/>
      <c r="Q59" s="816"/>
      <c r="R59" s="816"/>
      <c r="S59" s="816"/>
      <c r="T59" s="816"/>
      <c r="U59" s="816"/>
      <c r="V59" s="816"/>
      <c r="W59" s="816"/>
      <c r="X59" s="816"/>
      <c r="Y59" s="816"/>
      <c r="Z59" s="816"/>
      <c r="AA59" s="816"/>
      <c r="AB59" s="816"/>
      <c r="AC59" s="816"/>
      <c r="AD59" s="816"/>
      <c r="AE59" s="816"/>
    </row>
    <row r="60" spans="1:31" s="63" customFormat="1" ht="14.25" customHeight="1">
      <c r="A60" s="823" t="s">
        <v>37</v>
      </c>
      <c r="B60" s="734" t="s">
        <v>167</v>
      </c>
      <c r="C60" s="734"/>
      <c r="D60" s="734"/>
      <c r="E60" s="734"/>
      <c r="F60" s="734"/>
      <c r="G60" s="734"/>
      <c r="H60" s="734"/>
      <c r="I60" s="734"/>
      <c r="J60" s="734"/>
      <c r="K60" s="986" t="s">
        <v>23</v>
      </c>
      <c r="L60" s="986"/>
      <c r="M60" s="986"/>
      <c r="N60" s="977" t="s">
        <v>29</v>
      </c>
      <c r="O60" s="978"/>
      <c r="P60" s="979"/>
      <c r="Q60" s="1001" t="s">
        <v>113</v>
      </c>
      <c r="R60" s="1001"/>
      <c r="S60" s="1001"/>
      <c r="T60" s="734" t="s">
        <v>17</v>
      </c>
      <c r="U60" s="734"/>
      <c r="V60" s="734"/>
      <c r="W60" s="733" t="s">
        <v>200</v>
      </c>
      <c r="X60" s="733"/>
      <c r="Y60" s="733"/>
      <c r="Z60" s="733"/>
      <c r="AA60" s="733"/>
      <c r="AB60" s="733"/>
      <c r="AC60" s="733"/>
      <c r="AD60" s="733"/>
      <c r="AE60" s="112"/>
    </row>
    <row r="61" spans="1:31" s="63" customFormat="1" ht="10.5" customHeight="1">
      <c r="A61" s="946"/>
      <c r="B61" s="734"/>
      <c r="C61" s="734"/>
      <c r="D61" s="734"/>
      <c r="E61" s="734"/>
      <c r="F61" s="734"/>
      <c r="G61" s="734"/>
      <c r="H61" s="734"/>
      <c r="I61" s="734"/>
      <c r="J61" s="734"/>
      <c r="K61" s="986"/>
      <c r="L61" s="986"/>
      <c r="M61" s="986"/>
      <c r="N61" s="980"/>
      <c r="O61" s="981"/>
      <c r="P61" s="982"/>
      <c r="Q61" s="1001"/>
      <c r="R61" s="1001"/>
      <c r="S61" s="1001"/>
      <c r="T61" s="734"/>
      <c r="U61" s="734"/>
      <c r="V61" s="734"/>
      <c r="W61" s="746" t="s">
        <v>124</v>
      </c>
      <c r="X61" s="746"/>
      <c r="Y61" s="746" t="s">
        <v>125</v>
      </c>
      <c r="Z61" s="746"/>
      <c r="AA61" s="746" t="s">
        <v>126</v>
      </c>
      <c r="AB61" s="746"/>
      <c r="AC61" s="746" t="s">
        <v>55</v>
      </c>
      <c r="AD61" s="746"/>
      <c r="AE61" s="112"/>
    </row>
    <row r="62" spans="1:31" s="63" customFormat="1" ht="48.75" customHeight="1">
      <c r="A62" s="947"/>
      <c r="B62" s="734"/>
      <c r="C62" s="734"/>
      <c r="D62" s="734"/>
      <c r="E62" s="734"/>
      <c r="F62" s="734"/>
      <c r="G62" s="734"/>
      <c r="H62" s="734"/>
      <c r="I62" s="734"/>
      <c r="J62" s="734"/>
      <c r="K62" s="986"/>
      <c r="L62" s="986"/>
      <c r="M62" s="986"/>
      <c r="N62" s="983"/>
      <c r="O62" s="984"/>
      <c r="P62" s="985"/>
      <c r="Q62" s="1001"/>
      <c r="R62" s="1001"/>
      <c r="S62" s="1001"/>
      <c r="T62" s="734"/>
      <c r="U62" s="734"/>
      <c r="V62" s="734"/>
      <c r="W62" s="746"/>
      <c r="X62" s="746"/>
      <c r="Y62" s="746"/>
      <c r="Z62" s="746"/>
      <c r="AA62" s="746"/>
      <c r="AB62" s="746"/>
      <c r="AC62" s="746"/>
      <c r="AD62" s="746"/>
      <c r="AE62" s="112"/>
    </row>
    <row r="63" spans="1:31" s="63" customFormat="1" ht="9.75" customHeight="1">
      <c r="A63" s="98">
        <v>1</v>
      </c>
      <c r="B63" s="757">
        <v>2</v>
      </c>
      <c r="C63" s="757"/>
      <c r="D63" s="757"/>
      <c r="E63" s="757"/>
      <c r="F63" s="757"/>
      <c r="G63" s="757"/>
      <c r="H63" s="757"/>
      <c r="I63" s="757"/>
      <c r="J63" s="757"/>
      <c r="K63" s="968">
        <v>3</v>
      </c>
      <c r="L63" s="968"/>
      <c r="M63" s="968"/>
      <c r="N63" s="968">
        <v>4</v>
      </c>
      <c r="O63" s="968"/>
      <c r="P63" s="968"/>
      <c r="Q63" s="968">
        <v>5</v>
      </c>
      <c r="R63" s="968"/>
      <c r="S63" s="968"/>
      <c r="T63" s="1063">
        <v>6</v>
      </c>
      <c r="U63" s="1063"/>
      <c r="V63" s="1063"/>
      <c r="W63" s="998" t="s">
        <v>230</v>
      </c>
      <c r="X63" s="998"/>
      <c r="Y63" s="998" t="s">
        <v>231</v>
      </c>
      <c r="Z63" s="998"/>
      <c r="AA63" s="998" t="s">
        <v>232</v>
      </c>
      <c r="AB63" s="998"/>
      <c r="AC63" s="998" t="s">
        <v>233</v>
      </c>
      <c r="AD63" s="998"/>
      <c r="AE63" s="112"/>
    </row>
    <row r="64" spans="1:31" s="171" customFormat="1" ht="24.95" customHeight="1">
      <c r="A64" s="172"/>
      <c r="B64" s="976" t="s">
        <v>244</v>
      </c>
      <c r="C64" s="976"/>
      <c r="D64" s="976"/>
      <c r="E64" s="976"/>
      <c r="F64" s="976"/>
      <c r="G64" s="976"/>
      <c r="H64" s="976"/>
      <c r="I64" s="976"/>
      <c r="J64" s="976"/>
      <c r="K64" s="969"/>
      <c r="L64" s="969"/>
      <c r="M64" s="969"/>
      <c r="N64" s="969"/>
      <c r="O64" s="969"/>
      <c r="P64" s="969"/>
      <c r="Q64" s="969"/>
      <c r="R64" s="969"/>
      <c r="S64" s="969"/>
      <c r="T64" s="845"/>
      <c r="U64" s="845"/>
      <c r="V64" s="845"/>
      <c r="W64" s="1008"/>
      <c r="X64" s="1008"/>
      <c r="Y64" s="1008"/>
      <c r="Z64" s="1008"/>
      <c r="AA64" s="1008"/>
      <c r="AB64" s="1008"/>
      <c r="AC64" s="1008"/>
      <c r="AD64" s="1008"/>
      <c r="AE64" s="170"/>
    </row>
    <row r="65" spans="1:32" s="171" customFormat="1" ht="24.95" customHeight="1">
      <c r="A65" s="172"/>
      <c r="B65" s="973" t="s">
        <v>460</v>
      </c>
      <c r="C65" s="974"/>
      <c r="D65" s="974"/>
      <c r="E65" s="974"/>
      <c r="F65" s="974"/>
      <c r="G65" s="974"/>
      <c r="H65" s="974"/>
      <c r="I65" s="974"/>
      <c r="J65" s="975"/>
      <c r="K65" s="992">
        <f>K67+K66</f>
        <v>0</v>
      </c>
      <c r="L65" s="993"/>
      <c r="M65" s="994"/>
      <c r="N65" s="970">
        <f>N67</f>
        <v>0</v>
      </c>
      <c r="O65" s="971"/>
      <c r="P65" s="972"/>
      <c r="Q65" s="970">
        <f>Q67</f>
        <v>0</v>
      </c>
      <c r="R65" s="971"/>
      <c r="S65" s="972"/>
      <c r="T65" s="1005">
        <f t="shared" ref="T65:T70" si="3">W65+Y65+AA65+AC65</f>
        <v>0</v>
      </c>
      <c r="U65" s="1064"/>
      <c r="V65" s="1006"/>
      <c r="W65" s="1005">
        <f>W66+W67</f>
        <v>0</v>
      </c>
      <c r="X65" s="1006"/>
      <c r="Y65" s="1005">
        <f>Y66+Y67</f>
        <v>0</v>
      </c>
      <c r="Z65" s="1006"/>
      <c r="AA65" s="1005">
        <f>AA66+AA67</f>
        <v>0</v>
      </c>
      <c r="AB65" s="1006"/>
      <c r="AC65" s="1005">
        <f>AC66+AC67</f>
        <v>0</v>
      </c>
      <c r="AD65" s="1006"/>
      <c r="AE65" s="170"/>
    </row>
    <row r="66" spans="1:32" s="63" customFormat="1" ht="24.95" hidden="1" customHeight="1">
      <c r="A66" s="92"/>
      <c r="B66" s="958" t="s">
        <v>464</v>
      </c>
      <c r="C66" s="958"/>
      <c r="D66" s="958"/>
      <c r="E66" s="958"/>
      <c r="F66" s="958"/>
      <c r="G66" s="958"/>
      <c r="H66" s="958"/>
      <c r="I66" s="958"/>
      <c r="J66" s="958"/>
      <c r="K66" s="795"/>
      <c r="L66" s="991"/>
      <c r="M66" s="796"/>
      <c r="N66" s="941">
        <v>0</v>
      </c>
      <c r="O66" s="987"/>
      <c r="P66" s="942"/>
      <c r="Q66" s="941">
        <v>0</v>
      </c>
      <c r="R66" s="987"/>
      <c r="S66" s="942"/>
      <c r="T66" s="932">
        <f t="shared" si="3"/>
        <v>0</v>
      </c>
      <c r="U66" s="1009"/>
      <c r="V66" s="933"/>
      <c r="W66" s="932" t="s">
        <v>466</v>
      </c>
      <c r="X66" s="933"/>
      <c r="Y66" s="932" t="s">
        <v>466</v>
      </c>
      <c r="Z66" s="933"/>
      <c r="AA66" s="932" t="s">
        <v>466</v>
      </c>
      <c r="AB66" s="933"/>
      <c r="AC66" s="932" t="s">
        <v>466</v>
      </c>
      <c r="AD66" s="933"/>
      <c r="AE66" s="112"/>
    </row>
    <row r="67" spans="1:32" s="63" customFormat="1" ht="24.95" customHeight="1">
      <c r="A67" s="92"/>
      <c r="B67" s="958" t="s">
        <v>716</v>
      </c>
      <c r="C67" s="958"/>
      <c r="D67" s="958"/>
      <c r="E67" s="958"/>
      <c r="F67" s="958"/>
      <c r="G67" s="958"/>
      <c r="H67" s="958"/>
      <c r="I67" s="958"/>
      <c r="J67" s="958"/>
      <c r="K67" s="1065"/>
      <c r="L67" s="1066"/>
      <c r="M67" s="1067"/>
      <c r="N67" s="959"/>
      <c r="O67" s="959"/>
      <c r="P67" s="959"/>
      <c r="Q67" s="959"/>
      <c r="R67" s="959"/>
      <c r="S67" s="959"/>
      <c r="T67" s="932"/>
      <c r="U67" s="1009"/>
      <c r="V67" s="933"/>
      <c r="W67" s="842"/>
      <c r="X67" s="842"/>
      <c r="Y67" s="842"/>
      <c r="Z67" s="842"/>
      <c r="AA67" s="842"/>
      <c r="AB67" s="842"/>
      <c r="AC67" s="842"/>
      <c r="AD67" s="842"/>
      <c r="AE67" s="112"/>
    </row>
    <row r="68" spans="1:32" s="171" customFormat="1" ht="24.95" customHeight="1">
      <c r="A68" s="172"/>
      <c r="B68" s="960" t="s">
        <v>461</v>
      </c>
      <c r="C68" s="961"/>
      <c r="D68" s="961"/>
      <c r="E68" s="961"/>
      <c r="F68" s="961"/>
      <c r="G68" s="961"/>
      <c r="H68" s="961"/>
      <c r="I68" s="961"/>
      <c r="J68" s="962"/>
      <c r="K68" s="992">
        <f>K69+K70</f>
        <v>0</v>
      </c>
      <c r="L68" s="993"/>
      <c r="M68" s="994"/>
      <c r="N68" s="967">
        <f>N69</f>
        <v>0</v>
      </c>
      <c r="O68" s="967"/>
      <c r="P68" s="967"/>
      <c r="Q68" s="967">
        <f>Q69</f>
        <v>0</v>
      </c>
      <c r="R68" s="967"/>
      <c r="S68" s="967"/>
      <c r="T68" s="1005">
        <f>W68+Y68+AA68+AC68</f>
        <v>0</v>
      </c>
      <c r="U68" s="1064"/>
      <c r="V68" s="1006"/>
      <c r="W68" s="1007">
        <f>W69</f>
        <v>0</v>
      </c>
      <c r="X68" s="1007"/>
      <c r="Y68" s="1007">
        <f>Y69</f>
        <v>0</v>
      </c>
      <c r="Z68" s="1007"/>
      <c r="AA68" s="1007">
        <f>AA69</f>
        <v>0</v>
      </c>
      <c r="AB68" s="1007"/>
      <c r="AC68" s="1007">
        <f>AC69</f>
        <v>0</v>
      </c>
      <c r="AD68" s="1007"/>
      <c r="AE68" s="170"/>
      <c r="AF68" s="228"/>
    </row>
    <row r="69" spans="1:32" s="63" customFormat="1" ht="24.95" customHeight="1">
      <c r="A69" s="92"/>
      <c r="B69" s="964" t="s">
        <v>717</v>
      </c>
      <c r="C69" s="965"/>
      <c r="D69" s="965"/>
      <c r="E69" s="965"/>
      <c r="F69" s="965"/>
      <c r="G69" s="965"/>
      <c r="H69" s="965"/>
      <c r="I69" s="965"/>
      <c r="J69" s="966"/>
      <c r="K69" s="795"/>
      <c r="L69" s="991"/>
      <c r="M69" s="796"/>
      <c r="N69" s="941"/>
      <c r="O69" s="987"/>
      <c r="P69" s="942"/>
      <c r="Q69" s="941"/>
      <c r="R69" s="987"/>
      <c r="S69" s="942"/>
      <c r="T69" s="932"/>
      <c r="U69" s="1009"/>
      <c r="V69" s="933"/>
      <c r="W69" s="842"/>
      <c r="X69" s="842"/>
      <c r="Y69" s="932"/>
      <c r="Z69" s="933"/>
      <c r="AA69" s="932"/>
      <c r="AB69" s="933"/>
      <c r="AC69" s="932"/>
      <c r="AD69" s="933"/>
      <c r="AE69" s="112"/>
    </row>
    <row r="70" spans="1:32" s="63" customFormat="1" ht="24.95" hidden="1" customHeight="1">
      <c r="A70" s="92"/>
      <c r="B70" s="958" t="s">
        <v>468</v>
      </c>
      <c r="C70" s="958"/>
      <c r="D70" s="958"/>
      <c r="E70" s="958"/>
      <c r="F70" s="958"/>
      <c r="G70" s="958"/>
      <c r="H70" s="958"/>
      <c r="I70" s="958"/>
      <c r="J70" s="958"/>
      <c r="K70" s="795"/>
      <c r="L70" s="991"/>
      <c r="M70" s="796"/>
      <c r="N70" s="941">
        <v>0</v>
      </c>
      <c r="O70" s="987"/>
      <c r="P70" s="942"/>
      <c r="Q70" s="941">
        <v>0</v>
      </c>
      <c r="R70" s="987"/>
      <c r="S70" s="942"/>
      <c r="T70" s="932">
        <f t="shared" si="3"/>
        <v>0</v>
      </c>
      <c r="U70" s="1009"/>
      <c r="V70" s="933"/>
      <c r="W70" s="932"/>
      <c r="X70" s="933"/>
      <c r="Y70" s="932"/>
      <c r="Z70" s="933"/>
      <c r="AA70" s="932"/>
      <c r="AB70" s="933"/>
      <c r="AC70" s="932"/>
      <c r="AD70" s="933"/>
      <c r="AE70" s="112"/>
    </row>
    <row r="71" spans="1:32" s="171" customFormat="1" ht="24.95" customHeight="1">
      <c r="A71" s="172"/>
      <c r="B71" s="988" t="s">
        <v>243</v>
      </c>
      <c r="C71" s="989"/>
      <c r="D71" s="989"/>
      <c r="E71" s="989"/>
      <c r="F71" s="989"/>
      <c r="G71" s="989"/>
      <c r="H71" s="989"/>
      <c r="I71" s="989"/>
      <c r="J71" s="990"/>
      <c r="K71" s="992"/>
      <c r="L71" s="993"/>
      <c r="M71" s="994"/>
      <c r="N71" s="967"/>
      <c r="O71" s="967"/>
      <c r="P71" s="967"/>
      <c r="Q71" s="967"/>
      <c r="R71" s="967"/>
      <c r="S71" s="967"/>
      <c r="T71" s="1010"/>
      <c r="U71" s="1010"/>
      <c r="V71" s="1010"/>
      <c r="W71" s="1007"/>
      <c r="X71" s="1007"/>
      <c r="Y71" s="1007"/>
      <c r="Z71" s="1007"/>
      <c r="AA71" s="1007"/>
      <c r="AB71" s="1007"/>
      <c r="AC71" s="1007"/>
      <c r="AD71" s="1007"/>
      <c r="AE71" s="170"/>
    </row>
    <row r="72" spans="1:32" s="63" customFormat="1" ht="24.95" customHeight="1">
      <c r="A72" s="92"/>
      <c r="B72" s="958" t="s">
        <v>462</v>
      </c>
      <c r="C72" s="958"/>
      <c r="D72" s="958"/>
      <c r="E72" s="958"/>
      <c r="F72" s="958"/>
      <c r="G72" s="958"/>
      <c r="H72" s="958"/>
      <c r="I72" s="958"/>
      <c r="J72" s="958"/>
      <c r="K72" s="795"/>
      <c r="L72" s="991"/>
      <c r="M72" s="796"/>
      <c r="N72" s="959"/>
      <c r="O72" s="959"/>
      <c r="P72" s="959"/>
      <c r="Q72" s="959"/>
      <c r="R72" s="959"/>
      <c r="S72" s="959"/>
      <c r="T72" s="842"/>
      <c r="U72" s="842"/>
      <c r="V72" s="842"/>
      <c r="W72" s="842"/>
      <c r="X72" s="842"/>
      <c r="Y72" s="842"/>
      <c r="Z72" s="842"/>
      <c r="AA72" s="842"/>
      <c r="AB72" s="842"/>
      <c r="AC72" s="842"/>
      <c r="AD72" s="842"/>
      <c r="AE72" s="112"/>
    </row>
    <row r="73" spans="1:32" s="63" customFormat="1" ht="24.95" customHeight="1">
      <c r="A73" s="77"/>
      <c r="B73" s="958" t="s">
        <v>463</v>
      </c>
      <c r="C73" s="958"/>
      <c r="D73" s="958"/>
      <c r="E73" s="958"/>
      <c r="F73" s="958"/>
      <c r="G73" s="958"/>
      <c r="H73" s="958"/>
      <c r="I73" s="958"/>
      <c r="J73" s="958"/>
      <c r="K73" s="795"/>
      <c r="L73" s="991"/>
      <c r="M73" s="796"/>
      <c r="N73" s="959"/>
      <c r="O73" s="959"/>
      <c r="P73" s="959"/>
      <c r="Q73" s="959"/>
      <c r="R73" s="959"/>
      <c r="S73" s="959"/>
      <c r="T73" s="842"/>
      <c r="U73" s="842"/>
      <c r="V73" s="842"/>
      <c r="W73" s="842"/>
      <c r="X73" s="842"/>
      <c r="Y73" s="842"/>
      <c r="Z73" s="842"/>
      <c r="AA73" s="842"/>
      <c r="AB73" s="842"/>
      <c r="AC73" s="842"/>
      <c r="AD73" s="842"/>
      <c r="AE73" s="112"/>
    </row>
    <row r="74" spans="1:32" s="171" customFormat="1" ht="24.95" customHeight="1">
      <c r="A74" s="169"/>
      <c r="B74" s="988" t="s">
        <v>501</v>
      </c>
      <c r="C74" s="989"/>
      <c r="D74" s="989"/>
      <c r="E74" s="989"/>
      <c r="F74" s="989"/>
      <c r="G74" s="989"/>
      <c r="H74" s="989"/>
      <c r="I74" s="989"/>
      <c r="J74" s="990"/>
      <c r="K74" s="992"/>
      <c r="L74" s="993"/>
      <c r="M74" s="994"/>
      <c r="N74" s="967"/>
      <c r="O74" s="967"/>
      <c r="P74" s="967"/>
      <c r="Q74" s="967"/>
      <c r="R74" s="967"/>
      <c r="S74" s="967"/>
      <c r="T74" s="1007"/>
      <c r="U74" s="1007"/>
      <c r="V74" s="1007"/>
      <c r="W74" s="1007"/>
      <c r="X74" s="1007"/>
      <c r="Y74" s="1007"/>
      <c r="Z74" s="1007"/>
      <c r="AA74" s="1007"/>
      <c r="AB74" s="1007"/>
      <c r="AC74" s="1007"/>
      <c r="AD74" s="1007"/>
      <c r="AE74" s="170"/>
    </row>
    <row r="75" spans="1:32" s="171" customFormat="1" ht="24.95" customHeight="1">
      <c r="A75" s="169"/>
      <c r="B75" s="973" t="s">
        <v>460</v>
      </c>
      <c r="C75" s="974"/>
      <c r="D75" s="974"/>
      <c r="E75" s="974"/>
      <c r="F75" s="974"/>
      <c r="G75" s="974"/>
      <c r="H75" s="974"/>
      <c r="I75" s="974"/>
      <c r="J75" s="975"/>
      <c r="K75" s="992">
        <f>K76+K77</f>
        <v>18856.7</v>
      </c>
      <c r="L75" s="993"/>
      <c r="M75" s="994"/>
      <c r="N75" s="970">
        <f>N76+N77+N78+N79</f>
        <v>42790.8</v>
      </c>
      <c r="O75" s="971"/>
      <c r="P75" s="972"/>
      <c r="Q75" s="970">
        <f>Q76+Q77+Q78+Q79</f>
        <v>42462</v>
      </c>
      <c r="R75" s="971"/>
      <c r="S75" s="972"/>
      <c r="T75" s="1005">
        <f>T76+T77+T80</f>
        <v>45475.232000000004</v>
      </c>
      <c r="U75" s="1064"/>
      <c r="V75" s="1006"/>
      <c r="W75" s="1005">
        <f>W76+W77+W80</f>
        <v>28975.823200000003</v>
      </c>
      <c r="X75" s="1006"/>
      <c r="Y75" s="1005">
        <f t="shared" ref="Y75" si="4">Y76+Y77+Y80</f>
        <v>5842.165</v>
      </c>
      <c r="Z75" s="1006"/>
      <c r="AA75" s="1005">
        <f t="shared" ref="AA75" si="5">AA76+AA77+AA80</f>
        <v>5139.6036000000004</v>
      </c>
      <c r="AB75" s="1006"/>
      <c r="AC75" s="1005">
        <f t="shared" ref="AC75" si="6">AC76+AC77+AC80</f>
        <v>5517.6402000000007</v>
      </c>
      <c r="AD75" s="1006"/>
      <c r="AE75" s="170"/>
      <c r="AF75" s="173"/>
    </row>
    <row r="76" spans="1:32" s="63" customFormat="1" ht="41.25" customHeight="1">
      <c r="A76" s="77"/>
      <c r="B76" s="958" t="s">
        <v>493</v>
      </c>
      <c r="C76" s="958"/>
      <c r="D76" s="958"/>
      <c r="E76" s="958"/>
      <c r="F76" s="958"/>
      <c r="G76" s="958"/>
      <c r="H76" s="958"/>
      <c r="I76" s="958"/>
      <c r="J76" s="958"/>
      <c r="K76" s="795">
        <v>15548.3</v>
      </c>
      <c r="L76" s="991"/>
      <c r="M76" s="796"/>
      <c r="N76" s="959">
        <f>'ІІІ. Рух грош. коштів'!D26</f>
        <v>37218</v>
      </c>
      <c r="O76" s="959"/>
      <c r="P76" s="959"/>
      <c r="Q76" s="941">
        <f>'ІІІ. Рух грош. коштів'!E26</f>
        <v>37077.300000000003</v>
      </c>
      <c r="R76" s="987"/>
      <c r="S76" s="942"/>
      <c r="T76" s="932">
        <f t="shared" ref="T76:T84" si="7">W76+Y76+AA76+AC76</f>
        <v>39545.747800000005</v>
      </c>
      <c r="U76" s="1009"/>
      <c r="V76" s="933"/>
      <c r="W76" s="842">
        <f>'ІІІ. Рух грош. коштів'!G10</f>
        <v>26848.883400000002</v>
      </c>
      <c r="X76" s="842"/>
      <c r="Y76" s="842">
        <f>'ІІІ. Рух грош. коштів'!H10</f>
        <v>4468.1704</v>
      </c>
      <c r="Z76" s="842"/>
      <c r="AA76" s="842">
        <f>'ІІІ. Рух грош. коштів'!I10</f>
        <v>4411.5126</v>
      </c>
      <c r="AB76" s="842"/>
      <c r="AC76" s="842">
        <f>'ІІІ. Рух грош. коштів'!J10</f>
        <v>3817.1814000000004</v>
      </c>
      <c r="AD76" s="842"/>
      <c r="AE76" s="112"/>
    </row>
    <row r="77" spans="1:32" s="63" customFormat="1" ht="24.95" customHeight="1">
      <c r="A77" s="77"/>
      <c r="B77" s="964" t="s">
        <v>719</v>
      </c>
      <c r="C77" s="965"/>
      <c r="D77" s="965"/>
      <c r="E77" s="965"/>
      <c r="F77" s="965"/>
      <c r="G77" s="965"/>
      <c r="H77" s="965"/>
      <c r="I77" s="965"/>
      <c r="J77" s="966"/>
      <c r="K77" s="795">
        <v>3308.4</v>
      </c>
      <c r="L77" s="991"/>
      <c r="M77" s="796"/>
      <c r="N77" s="959">
        <f>'ІІІ. Рух грош. коштів'!D27</f>
        <v>5572.8</v>
      </c>
      <c r="O77" s="959"/>
      <c r="P77" s="959"/>
      <c r="Q77" s="941">
        <f>'ІІІ. Рух грош. коштів'!E27</f>
        <v>5384.7</v>
      </c>
      <c r="R77" s="987"/>
      <c r="S77" s="942"/>
      <c r="T77" s="932">
        <f>W77+Y77+AA77+AC77</f>
        <v>5907.3842000000004</v>
      </c>
      <c r="U77" s="1009"/>
      <c r="V77" s="933"/>
      <c r="W77" s="932">
        <f>'I. Фін результат'!G38</f>
        <v>2116.9398000000001</v>
      </c>
      <c r="X77" s="933"/>
      <c r="Y77" s="932">
        <f>'I. Фін результат'!H38</f>
        <v>1363.9946000000002</v>
      </c>
      <c r="Z77" s="933"/>
      <c r="AA77" s="932">
        <f>'I. Фін результат'!I38</f>
        <v>725.9910000000001</v>
      </c>
      <c r="AB77" s="933"/>
      <c r="AC77" s="932">
        <f>'I. Фін результат'!J38</f>
        <v>1700.4588000000001</v>
      </c>
      <c r="AD77" s="933"/>
      <c r="AE77" s="112"/>
    </row>
    <row r="78" spans="1:32" s="63" customFormat="1" ht="52.5" hidden="1" customHeight="1">
      <c r="A78" s="77"/>
      <c r="B78" s="995" t="s">
        <v>531</v>
      </c>
      <c r="C78" s="996"/>
      <c r="D78" s="996"/>
      <c r="E78" s="996"/>
      <c r="F78" s="996"/>
      <c r="G78" s="996"/>
      <c r="H78" s="996"/>
      <c r="I78" s="996"/>
      <c r="J78" s="997"/>
      <c r="K78" s="795"/>
      <c r="L78" s="991"/>
      <c r="M78" s="796"/>
      <c r="N78" s="941"/>
      <c r="O78" s="987"/>
      <c r="P78" s="942"/>
      <c r="Q78" s="941"/>
      <c r="R78" s="987"/>
      <c r="S78" s="942"/>
      <c r="T78" s="932">
        <f t="shared" ref="T78:T80" si="8">W78+Y78+AA78+AC78</f>
        <v>0</v>
      </c>
      <c r="U78" s="1009"/>
      <c r="V78" s="933"/>
      <c r="W78" s="932"/>
      <c r="X78" s="933"/>
      <c r="Y78" s="932"/>
      <c r="Z78" s="933"/>
      <c r="AA78" s="932"/>
      <c r="AB78" s="933"/>
      <c r="AC78" s="932"/>
      <c r="AD78" s="933"/>
      <c r="AE78" s="112"/>
    </row>
    <row r="79" spans="1:32" s="63" customFormat="1" ht="65.25" hidden="1" customHeight="1">
      <c r="A79" s="77"/>
      <c r="B79" s="995" t="s">
        <v>530</v>
      </c>
      <c r="C79" s="996"/>
      <c r="D79" s="996"/>
      <c r="E79" s="996"/>
      <c r="F79" s="996"/>
      <c r="G79" s="996"/>
      <c r="H79" s="996"/>
      <c r="I79" s="996"/>
      <c r="J79" s="997"/>
      <c r="K79" s="795"/>
      <c r="L79" s="991"/>
      <c r="M79" s="796"/>
      <c r="N79" s="941"/>
      <c r="O79" s="987"/>
      <c r="P79" s="942"/>
      <c r="Q79" s="941"/>
      <c r="R79" s="987"/>
      <c r="S79" s="942"/>
      <c r="T79" s="932">
        <f t="shared" si="8"/>
        <v>0</v>
      </c>
      <c r="U79" s="1009"/>
      <c r="V79" s="933"/>
      <c r="W79" s="932"/>
      <c r="X79" s="933"/>
      <c r="Y79" s="932"/>
      <c r="Z79" s="933"/>
      <c r="AA79" s="932"/>
      <c r="AB79" s="933"/>
      <c r="AC79" s="932"/>
      <c r="AD79" s="933"/>
      <c r="AE79" s="112"/>
    </row>
    <row r="80" spans="1:32" s="63" customFormat="1" ht="39" customHeight="1">
      <c r="A80" s="77"/>
      <c r="B80" s="1012" t="s">
        <v>769</v>
      </c>
      <c r="C80" s="1013"/>
      <c r="D80" s="1013"/>
      <c r="E80" s="1013"/>
      <c r="F80" s="1013"/>
      <c r="G80" s="1013"/>
      <c r="H80" s="1013"/>
      <c r="I80" s="1013"/>
      <c r="J80" s="1014"/>
      <c r="K80" s="640"/>
      <c r="L80" s="645"/>
      <c r="M80" s="641"/>
      <c r="N80" s="642"/>
      <c r="O80" s="644"/>
      <c r="P80" s="643"/>
      <c r="Q80" s="642"/>
      <c r="R80" s="644"/>
      <c r="S80" s="643"/>
      <c r="T80" s="932">
        <f t="shared" si="8"/>
        <v>22.1</v>
      </c>
      <c r="U80" s="1009"/>
      <c r="V80" s="933"/>
      <c r="W80" s="932">
        <f>'ІІІ. Рух грош. коштів'!G11</f>
        <v>10</v>
      </c>
      <c r="X80" s="933"/>
      <c r="Y80" s="932">
        <f>'ІІІ. Рух грош. коштів'!H11</f>
        <v>10</v>
      </c>
      <c r="Z80" s="933"/>
      <c r="AA80" s="932">
        <f>'ІІІ. Рух грош. коштів'!I11</f>
        <v>2.1</v>
      </c>
      <c r="AB80" s="933"/>
      <c r="AC80" s="932">
        <f>'ІІІ. Рух грош. коштів'!J11</f>
        <v>0</v>
      </c>
      <c r="AD80" s="933"/>
      <c r="AE80" s="112"/>
    </row>
    <row r="81" spans="1:34" s="171" customFormat="1" ht="24.95" customHeight="1">
      <c r="A81" s="169"/>
      <c r="B81" s="1011" t="s">
        <v>481</v>
      </c>
      <c r="C81" s="1011"/>
      <c r="D81" s="1011"/>
      <c r="E81" s="1011"/>
      <c r="F81" s="1011"/>
      <c r="G81" s="1011"/>
      <c r="H81" s="1011"/>
      <c r="I81" s="1011"/>
      <c r="J81" s="1011"/>
      <c r="K81" s="992">
        <f>K82+K83+K84</f>
        <v>18856.7</v>
      </c>
      <c r="L81" s="993"/>
      <c r="M81" s="994"/>
      <c r="N81" s="967">
        <f>N82+N83+N84+N85+N86</f>
        <v>42790.8</v>
      </c>
      <c r="O81" s="967"/>
      <c r="P81" s="967"/>
      <c r="Q81" s="967">
        <f>Q82+Q83+Q84+Q85+Q86</f>
        <v>42462</v>
      </c>
      <c r="R81" s="967"/>
      <c r="S81" s="967"/>
      <c r="T81" s="1007">
        <f>T82+T83+T84+T87</f>
        <v>45475.232000000004</v>
      </c>
      <c r="U81" s="1007"/>
      <c r="V81" s="1007"/>
      <c r="W81" s="1007">
        <f>W82+W83+W84+W87</f>
        <v>28975.823200000003</v>
      </c>
      <c r="X81" s="1007"/>
      <c r="Y81" s="1007">
        <f t="shared" ref="Y81" si="9">Y82+Y83+Y84+Y87</f>
        <v>5842.165</v>
      </c>
      <c r="Z81" s="1007"/>
      <c r="AA81" s="1007">
        <f t="shared" ref="AA81" si="10">AA82+AA83+AA84+AA87</f>
        <v>5139.6036000000004</v>
      </c>
      <c r="AB81" s="1007"/>
      <c r="AC81" s="1007">
        <f t="shared" ref="AC81" si="11">AC82+AC83+AC84+AC87</f>
        <v>5517.6402000000007</v>
      </c>
      <c r="AD81" s="1007"/>
      <c r="AE81" s="170"/>
    </row>
    <row r="82" spans="1:34" s="63" customFormat="1" ht="36" customHeight="1">
      <c r="A82" s="77"/>
      <c r="B82" s="958" t="s">
        <v>469</v>
      </c>
      <c r="C82" s="958"/>
      <c r="D82" s="958"/>
      <c r="E82" s="958"/>
      <c r="F82" s="958"/>
      <c r="G82" s="958"/>
      <c r="H82" s="958"/>
      <c r="I82" s="958"/>
      <c r="J82" s="958"/>
      <c r="K82" s="1000">
        <f>K76</f>
        <v>15548.3</v>
      </c>
      <c r="L82" s="1000"/>
      <c r="M82" s="1000"/>
      <c r="N82" s="959">
        <f>N76</f>
        <v>37218</v>
      </c>
      <c r="O82" s="959"/>
      <c r="P82" s="959"/>
      <c r="Q82" s="959">
        <f>Q76</f>
        <v>37077.300000000003</v>
      </c>
      <c r="R82" s="959"/>
      <c r="S82" s="959"/>
      <c r="T82" s="842">
        <f t="shared" si="7"/>
        <v>39545.747800000005</v>
      </c>
      <c r="U82" s="842"/>
      <c r="V82" s="842"/>
      <c r="W82" s="842">
        <f>'ІІІ. Рух грош. коштів'!G26</f>
        <v>26848.883400000002</v>
      </c>
      <c r="X82" s="842"/>
      <c r="Y82" s="842">
        <f>'ІІІ. Рух грош. коштів'!H26</f>
        <v>4468.1704</v>
      </c>
      <c r="Z82" s="842"/>
      <c r="AA82" s="842">
        <f>'ІІІ. Рух грош. коштів'!I26</f>
        <v>4411.5126</v>
      </c>
      <c r="AB82" s="842"/>
      <c r="AC82" s="842">
        <f>'ІІІ. Рух грош. коштів'!J26</f>
        <v>3817.1814000000004</v>
      </c>
      <c r="AD82" s="842"/>
      <c r="AE82" s="112"/>
    </row>
    <row r="83" spans="1:34" s="63" customFormat="1" ht="24.95" hidden="1" customHeight="1">
      <c r="A83" s="77"/>
      <c r="B83" s="958" t="s">
        <v>134</v>
      </c>
      <c r="C83" s="958"/>
      <c r="D83" s="958"/>
      <c r="E83" s="958"/>
      <c r="F83" s="958"/>
      <c r="G83" s="958"/>
      <c r="H83" s="958"/>
      <c r="I83" s="958"/>
      <c r="J83" s="958"/>
      <c r="K83" s="1000"/>
      <c r="L83" s="1000"/>
      <c r="M83" s="1000"/>
      <c r="N83" s="959">
        <v>0</v>
      </c>
      <c r="O83" s="959"/>
      <c r="P83" s="959"/>
      <c r="Q83" s="959">
        <v>0</v>
      </c>
      <c r="R83" s="959"/>
      <c r="S83" s="959"/>
      <c r="T83" s="842">
        <f t="shared" si="7"/>
        <v>0</v>
      </c>
      <c r="U83" s="842"/>
      <c r="V83" s="842"/>
      <c r="W83" s="842" t="s">
        <v>466</v>
      </c>
      <c r="X83" s="842"/>
      <c r="Y83" s="842" t="s">
        <v>466</v>
      </c>
      <c r="Z83" s="842"/>
      <c r="AA83" s="842" t="s">
        <v>466</v>
      </c>
      <c r="AB83" s="842"/>
      <c r="AC83" s="842" t="s">
        <v>466</v>
      </c>
      <c r="AD83" s="842"/>
      <c r="AE83" s="112"/>
    </row>
    <row r="84" spans="1:34" s="63" customFormat="1" ht="24.95" customHeight="1">
      <c r="A84" s="77"/>
      <c r="B84" s="958" t="s">
        <v>504</v>
      </c>
      <c r="C84" s="958"/>
      <c r="D84" s="958"/>
      <c r="E84" s="958"/>
      <c r="F84" s="958"/>
      <c r="G84" s="958"/>
      <c r="H84" s="958"/>
      <c r="I84" s="958"/>
      <c r="J84" s="958"/>
      <c r="K84" s="1000">
        <f>K77</f>
        <v>3308.4</v>
      </c>
      <c r="L84" s="1000"/>
      <c r="M84" s="1000"/>
      <c r="N84" s="959">
        <f>N77</f>
        <v>5572.8</v>
      </c>
      <c r="O84" s="959"/>
      <c r="P84" s="959"/>
      <c r="Q84" s="959">
        <f>Q77</f>
        <v>5384.7</v>
      </c>
      <c r="R84" s="959"/>
      <c r="S84" s="959"/>
      <c r="T84" s="842">
        <f t="shared" si="7"/>
        <v>5907.3842000000004</v>
      </c>
      <c r="U84" s="842"/>
      <c r="V84" s="842"/>
      <c r="W84" s="842">
        <f>-('I. Фін результат'!G89)</f>
        <v>2116.9398000000001</v>
      </c>
      <c r="X84" s="842"/>
      <c r="Y84" s="842">
        <f>-('I. Фін результат'!H89)</f>
        <v>1363.9946000000002</v>
      </c>
      <c r="Z84" s="842"/>
      <c r="AA84" s="842">
        <f>-('I. Фін результат'!I89)</f>
        <v>725.9910000000001</v>
      </c>
      <c r="AB84" s="842"/>
      <c r="AC84" s="842">
        <f>-('I. Фін результат'!J89)</f>
        <v>1700.4588000000001</v>
      </c>
      <c r="AD84" s="842"/>
      <c r="AE84" s="112"/>
    </row>
    <row r="85" spans="1:34" s="63" customFormat="1" ht="0.75" customHeight="1">
      <c r="A85" s="77"/>
      <c r="B85" s="1076" t="s">
        <v>532</v>
      </c>
      <c r="C85" s="1077"/>
      <c r="D85" s="1077"/>
      <c r="E85" s="1077"/>
      <c r="F85" s="1077"/>
      <c r="G85" s="1077"/>
      <c r="H85" s="1077"/>
      <c r="I85" s="1077"/>
      <c r="J85" s="1078"/>
      <c r="K85" s="795"/>
      <c r="L85" s="991"/>
      <c r="M85" s="796"/>
      <c r="N85" s="795"/>
      <c r="O85" s="991"/>
      <c r="P85" s="796"/>
      <c r="Q85" s="795"/>
      <c r="R85" s="991"/>
      <c r="S85" s="796"/>
      <c r="T85" s="842">
        <f t="shared" ref="T85:T87" si="12">W85+Y85+AA85+AC85</f>
        <v>10</v>
      </c>
      <c r="U85" s="842"/>
      <c r="V85" s="842"/>
      <c r="W85" s="842">
        <f>-('I. Фін результат'!G90)</f>
        <v>10</v>
      </c>
      <c r="X85" s="842"/>
      <c r="Y85" s="932"/>
      <c r="Z85" s="933"/>
      <c r="AA85" s="932"/>
      <c r="AB85" s="933"/>
      <c r="AC85" s="932"/>
      <c r="AD85" s="933"/>
      <c r="AE85" s="112"/>
    </row>
    <row r="86" spans="1:34" s="63" customFormat="1" ht="63" hidden="1" customHeight="1">
      <c r="A86" s="646"/>
      <c r="B86" s="1082" t="s">
        <v>533</v>
      </c>
      <c r="C86" s="1083"/>
      <c r="D86" s="1083"/>
      <c r="E86" s="1083"/>
      <c r="F86" s="1083"/>
      <c r="G86" s="1083"/>
      <c r="H86" s="1083"/>
      <c r="I86" s="1083"/>
      <c r="J86" s="1084"/>
      <c r="K86" s="1085"/>
      <c r="L86" s="1086"/>
      <c r="M86" s="1087"/>
      <c r="N86" s="1085"/>
      <c r="O86" s="1086"/>
      <c r="P86" s="1087"/>
      <c r="Q86" s="1085"/>
      <c r="R86" s="1086"/>
      <c r="S86" s="1087"/>
      <c r="T86" s="842">
        <f t="shared" si="12"/>
        <v>1800</v>
      </c>
      <c r="U86" s="842"/>
      <c r="V86" s="842"/>
      <c r="W86" s="842">
        <f>-('I. Фін результат'!G91)</f>
        <v>1800</v>
      </c>
      <c r="X86" s="842"/>
      <c r="Y86" s="1073"/>
      <c r="Z86" s="1074"/>
      <c r="AA86" s="1073"/>
      <c r="AB86" s="1074"/>
      <c r="AC86" s="1073"/>
      <c r="AD86" s="1074"/>
      <c r="AE86" s="112"/>
    </row>
    <row r="87" spans="1:34" s="63" customFormat="1" ht="25.5" customHeight="1">
      <c r="A87" s="77"/>
      <c r="B87" s="1012" t="s">
        <v>770</v>
      </c>
      <c r="C87" s="1013"/>
      <c r="D87" s="1013"/>
      <c r="E87" s="1013"/>
      <c r="F87" s="1013"/>
      <c r="G87" s="1013"/>
      <c r="H87" s="1013"/>
      <c r="I87" s="1013"/>
      <c r="J87" s="1014"/>
      <c r="K87" s="640"/>
      <c r="L87" s="645"/>
      <c r="M87" s="641"/>
      <c r="N87" s="640"/>
      <c r="O87" s="645"/>
      <c r="P87" s="641"/>
      <c r="Q87" s="640"/>
      <c r="R87" s="645"/>
      <c r="S87" s="641"/>
      <c r="T87" s="842">
        <f t="shared" si="12"/>
        <v>22.1</v>
      </c>
      <c r="U87" s="842"/>
      <c r="V87" s="842"/>
      <c r="W87" s="842">
        <f>-('I. Фін результат'!G90)</f>
        <v>10</v>
      </c>
      <c r="X87" s="842"/>
      <c r="Y87" s="842">
        <f>-('I. Фін результат'!H90)</f>
        <v>10</v>
      </c>
      <c r="Z87" s="842"/>
      <c r="AA87" s="842">
        <f>-('I. Фін результат'!I90)</f>
        <v>2.1</v>
      </c>
      <c r="AB87" s="842"/>
      <c r="AC87" s="842">
        <f>-('I. Фін результат'!J90)</f>
        <v>0</v>
      </c>
      <c r="AD87" s="842"/>
      <c r="AE87" s="112"/>
    </row>
    <row r="88" spans="1:34" s="63" customFormat="1" ht="24.95" customHeight="1">
      <c r="A88" s="1081" t="s">
        <v>40</v>
      </c>
      <c r="B88" s="1081"/>
      <c r="C88" s="1081"/>
      <c r="D88" s="1081"/>
      <c r="E88" s="1081"/>
      <c r="F88" s="1081"/>
      <c r="G88" s="1081"/>
      <c r="H88" s="1081"/>
      <c r="I88" s="1081"/>
      <c r="J88" s="1081"/>
      <c r="K88" s="1088">
        <f>K75+K65</f>
        <v>18856.7</v>
      </c>
      <c r="L88" s="1089"/>
      <c r="M88" s="1090"/>
      <c r="N88" s="1091">
        <f>N65+N75</f>
        <v>42790.8</v>
      </c>
      <c r="O88" s="1091"/>
      <c r="P88" s="1091"/>
      <c r="Q88" s="1091">
        <f>Q65+Q75</f>
        <v>42462</v>
      </c>
      <c r="R88" s="1091"/>
      <c r="S88" s="1091"/>
      <c r="T88" s="1070">
        <f>T65+T75</f>
        <v>45475.232000000004</v>
      </c>
      <c r="U88" s="1070"/>
      <c r="V88" s="1070"/>
      <c r="W88" s="1070">
        <f>W75+W65</f>
        <v>28975.823200000003</v>
      </c>
      <c r="X88" s="1070"/>
      <c r="Y88" s="1070">
        <f>Y75+Y65</f>
        <v>5842.165</v>
      </c>
      <c r="Z88" s="1070"/>
      <c r="AA88" s="1070">
        <f>AA75+AA65</f>
        <v>5139.6036000000004</v>
      </c>
      <c r="AB88" s="1070"/>
      <c r="AC88" s="1070">
        <f>AC75+AC65</f>
        <v>5517.6402000000007</v>
      </c>
      <c r="AD88" s="1070"/>
      <c r="AE88" s="112"/>
      <c r="AF88" s="229"/>
      <c r="AH88" s="174"/>
    </row>
    <row r="89" spans="1:34" ht="4.5" customHeight="1">
      <c r="B89" s="29"/>
      <c r="C89" s="29"/>
      <c r="D89" s="29"/>
      <c r="E89" s="29"/>
      <c r="F89" s="29"/>
      <c r="G89" s="29"/>
      <c r="H89" s="29"/>
      <c r="I89" s="29"/>
      <c r="J89" s="29"/>
      <c r="K89" s="29"/>
      <c r="L89" s="29"/>
      <c r="M89" s="29"/>
      <c r="N89" s="29"/>
      <c r="O89" s="29"/>
      <c r="P89" s="29"/>
      <c r="Q89" s="29"/>
      <c r="R89" s="29"/>
      <c r="S89" s="29"/>
      <c r="T89" s="29"/>
      <c r="U89" s="29"/>
    </row>
    <row r="90" spans="1:34" s="19" customFormat="1" ht="32.25" customHeight="1">
      <c r="B90" s="1079" t="s">
        <v>740</v>
      </c>
      <c r="C90" s="1080"/>
      <c r="D90" s="1080"/>
      <c r="E90" s="1080"/>
      <c r="F90" s="1080"/>
      <c r="G90" s="58"/>
      <c r="H90" s="58"/>
      <c r="I90" s="58"/>
      <c r="J90" s="58"/>
      <c r="K90" s="58"/>
      <c r="L90" s="745" t="s">
        <v>162</v>
      </c>
      <c r="M90" s="745"/>
      <c r="N90" s="745"/>
      <c r="O90" s="745"/>
      <c r="P90" s="745"/>
      <c r="V90" s="827" t="s">
        <v>762</v>
      </c>
      <c r="W90" s="1075"/>
      <c r="X90" s="1075"/>
      <c r="Y90" s="1075"/>
      <c r="Z90" s="1075"/>
    </row>
    <row r="91" spans="1:34" s="4" customFormat="1" ht="11.25" customHeight="1">
      <c r="B91" s="3"/>
      <c r="C91" s="85" t="s">
        <v>59</v>
      </c>
      <c r="E91" s="3"/>
      <c r="F91" s="3"/>
      <c r="G91" s="3"/>
      <c r="H91" s="3"/>
      <c r="I91" s="3"/>
      <c r="J91" s="3"/>
      <c r="K91" s="3"/>
      <c r="M91" s="3"/>
      <c r="N91" s="85" t="s">
        <v>60</v>
      </c>
      <c r="O91" s="105"/>
      <c r="P91" s="85"/>
      <c r="Q91" s="105"/>
      <c r="R91" s="105"/>
      <c r="S91" s="105"/>
      <c r="T91" s="85"/>
      <c r="U91" s="85"/>
      <c r="V91" s="731" t="s">
        <v>90</v>
      </c>
      <c r="W91" s="731"/>
      <c r="X91" s="731"/>
      <c r="Y91" s="731"/>
      <c r="Z91" s="731"/>
    </row>
    <row r="92" spans="1:34">
      <c r="S92" s="309"/>
      <c r="T92" s="1071"/>
      <c r="U92" s="1071"/>
      <c r="V92" s="1071"/>
      <c r="W92" s="1072"/>
      <c r="X92" s="1071"/>
      <c r="Y92" s="1068"/>
      <c r="Z92" s="721"/>
      <c r="AA92" s="1068"/>
      <c r="AB92" s="721"/>
      <c r="AC92" s="1068"/>
      <c r="AD92" s="721"/>
      <c r="AF92" s="25"/>
      <c r="AG92" s="25"/>
    </row>
    <row r="93" spans="1:34" ht="20.100000000000001" customHeight="1">
      <c r="B93" s="29"/>
      <c r="C93" s="29"/>
      <c r="D93" s="29"/>
      <c r="E93" s="29"/>
      <c r="F93" s="29"/>
      <c r="G93" s="29"/>
      <c r="H93" s="29"/>
      <c r="I93" s="29"/>
      <c r="J93" s="29"/>
      <c r="K93" s="29"/>
      <c r="L93" s="29"/>
      <c r="M93" s="29"/>
      <c r="N93" s="29"/>
      <c r="O93" s="29"/>
      <c r="P93" s="29"/>
      <c r="Q93" s="29"/>
      <c r="R93" s="29"/>
      <c r="S93" s="310"/>
      <c r="T93" s="1069"/>
      <c r="U93" s="1069"/>
      <c r="V93" s="1069"/>
      <c r="W93" s="1072"/>
      <c r="X93" s="1072"/>
      <c r="Y93" s="1068"/>
      <c r="Z93" s="721"/>
      <c r="AA93" s="1068"/>
      <c r="AB93" s="721"/>
      <c r="AC93" s="1068"/>
      <c r="AD93" s="1068"/>
    </row>
    <row r="94" spans="1:34">
      <c r="B94" s="29"/>
      <c r="C94" s="29"/>
      <c r="D94" s="29"/>
      <c r="E94" s="29"/>
      <c r="F94" s="29"/>
      <c r="G94" s="29"/>
      <c r="H94" s="29"/>
      <c r="I94" s="29"/>
      <c r="J94" s="29"/>
      <c r="K94" s="29"/>
      <c r="L94" s="29"/>
      <c r="M94" s="29"/>
      <c r="N94" s="29"/>
      <c r="O94" s="29"/>
      <c r="P94" s="29"/>
      <c r="Q94" s="29"/>
      <c r="R94" s="29"/>
      <c r="S94" s="310"/>
      <c r="T94" s="310"/>
      <c r="U94" s="310"/>
      <c r="V94" s="309"/>
      <c r="W94" s="309"/>
      <c r="X94" s="309"/>
    </row>
    <row r="95" spans="1:34">
      <c r="B95" s="30"/>
    </row>
    <row r="98" spans="2:2" ht="19.5">
      <c r="B98" s="31"/>
    </row>
    <row r="99" spans="2:2" ht="19.5">
      <c r="B99" s="31"/>
    </row>
    <row r="100" spans="2:2" ht="19.5">
      <c r="B100" s="31"/>
    </row>
    <row r="101" spans="2:2" ht="19.5">
      <c r="B101" s="31"/>
    </row>
    <row r="102" spans="2:2" ht="19.5">
      <c r="B102" s="31"/>
    </row>
    <row r="103" spans="2:2" ht="19.5">
      <c r="B103" s="31"/>
    </row>
    <row r="104" spans="2:2" ht="19.5">
      <c r="B104" s="31"/>
    </row>
  </sheetData>
  <mergeCells count="636">
    <mergeCell ref="B85:J85"/>
    <mergeCell ref="K85:M85"/>
    <mergeCell ref="Q85:S85"/>
    <mergeCell ref="N85:P85"/>
    <mergeCell ref="W93:X93"/>
    <mergeCell ref="V91:Z91"/>
    <mergeCell ref="W88:X88"/>
    <mergeCell ref="T88:V88"/>
    <mergeCell ref="W86:X86"/>
    <mergeCell ref="B90:F90"/>
    <mergeCell ref="L90:P90"/>
    <mergeCell ref="A88:J88"/>
    <mergeCell ref="B86:J86"/>
    <mergeCell ref="K86:M86"/>
    <mergeCell ref="N86:P86"/>
    <mergeCell ref="K88:M88"/>
    <mergeCell ref="N88:P88"/>
    <mergeCell ref="Q88:S88"/>
    <mergeCell ref="Q86:S86"/>
    <mergeCell ref="T85:V85"/>
    <mergeCell ref="W85:X85"/>
    <mergeCell ref="B87:J87"/>
    <mergeCell ref="AC93:AD93"/>
    <mergeCell ref="AA92:AB92"/>
    <mergeCell ref="T93:V93"/>
    <mergeCell ref="AA88:AB88"/>
    <mergeCell ref="Y88:Z88"/>
    <mergeCell ref="T86:V86"/>
    <mergeCell ref="T92:V92"/>
    <mergeCell ref="W92:X92"/>
    <mergeCell ref="Y92:Z92"/>
    <mergeCell ref="AC92:AD92"/>
    <mergeCell ref="Y93:Z93"/>
    <mergeCell ref="AA93:AB93"/>
    <mergeCell ref="Y86:Z86"/>
    <mergeCell ref="AC86:AD86"/>
    <mergeCell ref="AA86:AB86"/>
    <mergeCell ref="V90:Z90"/>
    <mergeCell ref="AC88:AD88"/>
    <mergeCell ref="T87:V87"/>
    <mergeCell ref="W87:X87"/>
    <mergeCell ref="Y87:Z87"/>
    <mergeCell ref="AA87:AB87"/>
    <mergeCell ref="AC87:AD87"/>
    <mergeCell ref="L38:M38"/>
    <mergeCell ref="L45:M45"/>
    <mergeCell ref="R42:S42"/>
    <mergeCell ref="L47:M47"/>
    <mergeCell ref="N47:O47"/>
    <mergeCell ref="N46:O46"/>
    <mergeCell ref="N41:O41"/>
    <mergeCell ref="P39:Q39"/>
    <mergeCell ref="R39:S39"/>
    <mergeCell ref="P47:Q47"/>
    <mergeCell ref="L41:M41"/>
    <mergeCell ref="N44:O44"/>
    <mergeCell ref="P44:Q44"/>
    <mergeCell ref="R44:S44"/>
    <mergeCell ref="R41:S41"/>
    <mergeCell ref="N40:O40"/>
    <mergeCell ref="P46:Q46"/>
    <mergeCell ref="L40:M40"/>
    <mergeCell ref="AA85:AB85"/>
    <mergeCell ref="AC85:AD85"/>
    <mergeCell ref="AA83:AB83"/>
    <mergeCell ref="Y83:Z83"/>
    <mergeCell ref="AC83:AD83"/>
    <mergeCell ref="AC68:AD68"/>
    <mergeCell ref="Y69:Z69"/>
    <mergeCell ref="Y68:Z68"/>
    <mergeCell ref="Y85:Z85"/>
    <mergeCell ref="AA78:AB78"/>
    <mergeCell ref="AC77:AD77"/>
    <mergeCell ref="AC78:AD78"/>
    <mergeCell ref="AC84:AD84"/>
    <mergeCell ref="AA81:AB81"/>
    <mergeCell ref="AA84:AB84"/>
    <mergeCell ref="AC82:AD82"/>
    <mergeCell ref="Y84:Z84"/>
    <mergeCell ref="AA72:AB72"/>
    <mergeCell ref="AC72:AD72"/>
    <mergeCell ref="AA74:AB74"/>
    <mergeCell ref="AC73:AD73"/>
    <mergeCell ref="AC71:AD71"/>
    <mergeCell ref="AC74:AD74"/>
    <mergeCell ref="AA75:AB75"/>
    <mergeCell ref="T45:U45"/>
    <mergeCell ref="P42:Q42"/>
    <mergeCell ref="N45:O45"/>
    <mergeCell ref="P45:Q45"/>
    <mergeCell ref="Q64:S64"/>
    <mergeCell ref="Q71:S71"/>
    <mergeCell ref="M57:N57"/>
    <mergeCell ref="Q69:S69"/>
    <mergeCell ref="K67:M67"/>
    <mergeCell ref="Q68:S68"/>
    <mergeCell ref="Q66:S66"/>
    <mergeCell ref="S56:T56"/>
    <mergeCell ref="U56:Y56"/>
    <mergeCell ref="V47:W47"/>
    <mergeCell ref="X47:Y47"/>
    <mergeCell ref="X43:Y43"/>
    <mergeCell ref="X46:Y46"/>
    <mergeCell ref="X45:Y45"/>
    <mergeCell ref="T75:V75"/>
    <mergeCell ref="Q76:S76"/>
    <mergeCell ref="W65:X65"/>
    <mergeCell ref="W66:X66"/>
    <mergeCell ref="W67:X67"/>
    <mergeCell ref="AA69:AB69"/>
    <mergeCell ref="T68:V68"/>
    <mergeCell ref="T66:V66"/>
    <mergeCell ref="Y70:Z70"/>
    <mergeCell ref="Y65:Z65"/>
    <mergeCell ref="T65:V65"/>
    <mergeCell ref="T69:V69"/>
    <mergeCell ref="W69:X69"/>
    <mergeCell ref="W70:X70"/>
    <mergeCell ref="T70:V70"/>
    <mergeCell ref="AA73:AB73"/>
    <mergeCell ref="AA68:AB68"/>
    <mergeCell ref="AA65:AB65"/>
    <mergeCell ref="AA66:AB66"/>
    <mergeCell ref="B41:F41"/>
    <mergeCell ref="N64:P64"/>
    <mergeCell ref="K72:M72"/>
    <mergeCell ref="K70:M70"/>
    <mergeCell ref="T64:V64"/>
    <mergeCell ref="V41:W41"/>
    <mergeCell ref="T60:V62"/>
    <mergeCell ref="T63:V63"/>
    <mergeCell ref="T67:V67"/>
    <mergeCell ref="T41:U41"/>
    <mergeCell ref="T42:U42"/>
    <mergeCell ref="U51:Y53"/>
    <mergeCell ref="U54:Y54"/>
    <mergeCell ref="N42:O42"/>
    <mergeCell ref="T46:U46"/>
    <mergeCell ref="T47:U47"/>
    <mergeCell ref="V45:W45"/>
    <mergeCell ref="O52:T52"/>
    <mergeCell ref="Y67:Z67"/>
    <mergeCell ref="W68:X68"/>
    <mergeCell ref="Y66:Z66"/>
    <mergeCell ref="A46:F46"/>
    <mergeCell ref="O53:P53"/>
    <mergeCell ref="K56:L56"/>
    <mergeCell ref="A51:A53"/>
    <mergeCell ref="C51:D53"/>
    <mergeCell ref="Q54:R54"/>
    <mergeCell ref="C54:D54"/>
    <mergeCell ref="M52:N53"/>
    <mergeCell ref="A47:F47"/>
    <mergeCell ref="I51:J53"/>
    <mergeCell ref="Q53:R53"/>
    <mergeCell ref="K52:L53"/>
    <mergeCell ref="C56:D56"/>
    <mergeCell ref="E56:F56"/>
    <mergeCell ref="O56:P56"/>
    <mergeCell ref="I57:J57"/>
    <mergeCell ref="N66:P66"/>
    <mergeCell ref="K66:M66"/>
    <mergeCell ref="K69:M69"/>
    <mergeCell ref="B73:J73"/>
    <mergeCell ref="O55:P55"/>
    <mergeCell ref="N65:P65"/>
    <mergeCell ref="K68:M68"/>
    <mergeCell ref="O57:P57"/>
    <mergeCell ref="K65:M65"/>
    <mergeCell ref="M56:N56"/>
    <mergeCell ref="K57:L57"/>
    <mergeCell ref="B72:J72"/>
    <mergeCell ref="L29:M29"/>
    <mergeCell ref="N29:O29"/>
    <mergeCell ref="S53:T53"/>
    <mergeCell ref="B40:F40"/>
    <mergeCell ref="AC67:AD67"/>
    <mergeCell ref="AC66:AD66"/>
    <mergeCell ref="AA67:AB67"/>
    <mergeCell ref="B45:F45"/>
    <mergeCell ref="Z45:AA45"/>
    <mergeCell ref="P41:Q41"/>
    <mergeCell ref="Z56:AE56"/>
    <mergeCell ref="AD46:AE46"/>
    <mergeCell ref="AB44:AC44"/>
    <mergeCell ref="V36:W37"/>
    <mergeCell ref="X37:Y37"/>
    <mergeCell ref="AB40:AC40"/>
    <mergeCell ref="AC63:AD63"/>
    <mergeCell ref="AB45:AC45"/>
    <mergeCell ref="AD45:AE45"/>
    <mergeCell ref="AA61:AB62"/>
    <mergeCell ref="Z57:AE57"/>
    <mergeCell ref="Y63:Z63"/>
    <mergeCell ref="Y61:Z62"/>
    <mergeCell ref="Y64:Z64"/>
    <mergeCell ref="L28:M28"/>
    <mergeCell ref="B25:F25"/>
    <mergeCell ref="N25:O25"/>
    <mergeCell ref="P25:Q25"/>
    <mergeCell ref="R25:S25"/>
    <mergeCell ref="L21:U21"/>
    <mergeCell ref="T25:U25"/>
    <mergeCell ref="L27:M27"/>
    <mergeCell ref="E51:F53"/>
    <mergeCell ref="B51:B53"/>
    <mergeCell ref="L35:U35"/>
    <mergeCell ref="T33:U33"/>
    <mergeCell ref="B43:F43"/>
    <mergeCell ref="B44:F44"/>
    <mergeCell ref="B28:F28"/>
    <mergeCell ref="G36:G37"/>
    <mergeCell ref="H36:K36"/>
    <mergeCell ref="B42:F42"/>
    <mergeCell ref="P43:Q43"/>
    <mergeCell ref="N36:U36"/>
    <mergeCell ref="P40:Q40"/>
    <mergeCell ref="A32:F32"/>
    <mergeCell ref="N39:O39"/>
    <mergeCell ref="R46:S46"/>
    <mergeCell ref="W7:Y7"/>
    <mergeCell ref="W8:Y8"/>
    <mergeCell ref="Z8:AB8"/>
    <mergeCell ref="Z7:AB7"/>
    <mergeCell ref="AB14:AC14"/>
    <mergeCell ref="AC8:AE8"/>
    <mergeCell ref="AC7:AE7"/>
    <mergeCell ref="AD16:AE16"/>
    <mergeCell ref="G35:K35"/>
    <mergeCell ref="X22:AE22"/>
    <mergeCell ref="H22:K22"/>
    <mergeCell ref="G21:K21"/>
    <mergeCell ref="G22:G23"/>
    <mergeCell ref="AD28:AE28"/>
    <mergeCell ref="R28:S28"/>
    <mergeCell ref="AB28:AC28"/>
    <mergeCell ref="T28:U28"/>
    <mergeCell ref="R31:S31"/>
    <mergeCell ref="V15:W15"/>
    <mergeCell ref="V31:W31"/>
    <mergeCell ref="V12:AE12"/>
    <mergeCell ref="V13:W14"/>
    <mergeCell ref="X13:AE13"/>
    <mergeCell ref="X14:Y14"/>
    <mergeCell ref="M4:P5"/>
    <mergeCell ref="G6:L6"/>
    <mergeCell ref="M6:P6"/>
    <mergeCell ref="C6:F6"/>
    <mergeCell ref="A4:A5"/>
    <mergeCell ref="B4:B5"/>
    <mergeCell ref="C4:F5"/>
    <mergeCell ref="G4:L5"/>
    <mergeCell ref="AC6:AE6"/>
    <mergeCell ref="Q4:AE4"/>
    <mergeCell ref="T5:V5"/>
    <mergeCell ref="W5:Y5"/>
    <mergeCell ref="Z5:AB5"/>
    <mergeCell ref="Q5:S5"/>
    <mergeCell ref="AC5:AE5"/>
    <mergeCell ref="Q6:S6"/>
    <mergeCell ref="Z6:AB6"/>
    <mergeCell ref="W6:Y6"/>
    <mergeCell ref="C7:F7"/>
    <mergeCell ref="G7:L7"/>
    <mergeCell ref="T7:V7"/>
    <mergeCell ref="M7:P7"/>
    <mergeCell ref="Q7:S7"/>
    <mergeCell ref="T8:V8"/>
    <mergeCell ref="A8:L8"/>
    <mergeCell ref="T6:V6"/>
    <mergeCell ref="A21:A23"/>
    <mergeCell ref="Q12:U14"/>
    <mergeCell ref="Q15:U15"/>
    <mergeCell ref="G12:P14"/>
    <mergeCell ref="A12:A14"/>
    <mergeCell ref="B12:B14"/>
    <mergeCell ref="C12:F14"/>
    <mergeCell ref="A17:U17"/>
    <mergeCell ref="C15:F15"/>
    <mergeCell ref="G15:P15"/>
    <mergeCell ref="B21:F23"/>
    <mergeCell ref="C16:F16"/>
    <mergeCell ref="AD14:AE14"/>
    <mergeCell ref="AD15:AE15"/>
    <mergeCell ref="X15:Y15"/>
    <mergeCell ref="M8:P8"/>
    <mergeCell ref="Q8:S8"/>
    <mergeCell ref="L24:M24"/>
    <mergeCell ref="X16:Y16"/>
    <mergeCell ref="AB17:AC17"/>
    <mergeCell ref="G16:P16"/>
    <mergeCell ref="Q16:U16"/>
    <mergeCell ref="V16:W16"/>
    <mergeCell ref="Z16:AA16"/>
    <mergeCell ref="AB16:AC16"/>
    <mergeCell ref="Z17:AA17"/>
    <mergeCell ref="L22:M23"/>
    <mergeCell ref="X17:Y17"/>
    <mergeCell ref="V17:W17"/>
    <mergeCell ref="V21:AE21"/>
    <mergeCell ref="V22:W23"/>
    <mergeCell ref="T23:U23"/>
    <mergeCell ref="N22:U22"/>
    <mergeCell ref="AD17:AE17"/>
    <mergeCell ref="AB23:AC23"/>
    <mergeCell ref="AB15:AC15"/>
    <mergeCell ref="AB1:AE1"/>
    <mergeCell ref="AB46:AC46"/>
    <mergeCell ref="N38:O38"/>
    <mergeCell ref="R40:S40"/>
    <mergeCell ref="T40:U40"/>
    <mergeCell ref="Z46:AA46"/>
    <mergeCell ref="V46:W46"/>
    <mergeCell ref="P24:Q24"/>
    <mergeCell ref="R24:S24"/>
    <mergeCell ref="T24:U24"/>
    <mergeCell ref="R27:S27"/>
    <mergeCell ref="V29:W29"/>
    <mergeCell ref="V28:W28"/>
    <mergeCell ref="T26:U26"/>
    <mergeCell ref="V24:W24"/>
    <mergeCell ref="P23:Q23"/>
    <mergeCell ref="R23:S23"/>
    <mergeCell ref="N23:O23"/>
    <mergeCell ref="N24:O24"/>
    <mergeCell ref="R32:S32"/>
    <mergeCell ref="AD43:AE43"/>
    <mergeCell ref="AB41:AC41"/>
    <mergeCell ref="V43:W43"/>
    <mergeCell ref="Z14:AA14"/>
    <mergeCell ref="Z15:AA15"/>
    <mergeCell ref="AC65:AD65"/>
    <mergeCell ref="B60:J62"/>
    <mergeCell ref="W61:X62"/>
    <mergeCell ref="B63:J63"/>
    <mergeCell ref="Z55:AE55"/>
    <mergeCell ref="Q57:R57"/>
    <mergeCell ref="Q56:R56"/>
    <mergeCell ref="C55:D55"/>
    <mergeCell ref="E55:F55"/>
    <mergeCell ref="K55:L55"/>
    <mergeCell ref="U55:Y55"/>
    <mergeCell ref="S55:T55"/>
    <mergeCell ref="G55:H55"/>
    <mergeCell ref="M55:N55"/>
    <mergeCell ref="Q55:R55"/>
    <mergeCell ref="G56:H56"/>
    <mergeCell ref="I56:J56"/>
    <mergeCell ref="W64:X64"/>
    <mergeCell ref="AD23:AE23"/>
    <mergeCell ref="B24:F24"/>
    <mergeCell ref="B26:F26"/>
    <mergeCell ref="AC61:AD62"/>
    <mergeCell ref="AD42:AE42"/>
    <mergeCell ref="B83:J83"/>
    <mergeCell ref="T82:V82"/>
    <mergeCell ref="B79:J79"/>
    <mergeCell ref="T79:V79"/>
    <mergeCell ref="T81:V81"/>
    <mergeCell ref="T77:V77"/>
    <mergeCell ref="N83:P83"/>
    <mergeCell ref="K79:M79"/>
    <mergeCell ref="K78:M78"/>
    <mergeCell ref="N81:P81"/>
    <mergeCell ref="Q81:S81"/>
    <mergeCell ref="Q83:S83"/>
    <mergeCell ref="B82:J82"/>
    <mergeCell ref="Q82:S82"/>
    <mergeCell ref="B77:J77"/>
    <mergeCell ref="K77:M77"/>
    <mergeCell ref="N77:P77"/>
    <mergeCell ref="Q77:S77"/>
    <mergeCell ref="B81:J81"/>
    <mergeCell ref="T83:V83"/>
    <mergeCell ref="Q78:S78"/>
    <mergeCell ref="T78:V78"/>
    <mergeCell ref="B80:J80"/>
    <mergeCell ref="B76:J76"/>
    <mergeCell ref="Q73:S73"/>
    <mergeCell ref="N71:P71"/>
    <mergeCell ref="N72:P72"/>
    <mergeCell ref="T76:V76"/>
    <mergeCell ref="W76:X76"/>
    <mergeCell ref="W71:X71"/>
    <mergeCell ref="Y74:Z74"/>
    <mergeCell ref="Y71:Z71"/>
    <mergeCell ref="Y75:Z75"/>
    <mergeCell ref="Q72:S72"/>
    <mergeCell ref="Q75:S75"/>
    <mergeCell ref="T73:V73"/>
    <mergeCell ref="B71:J71"/>
    <mergeCell ref="K71:M71"/>
    <mergeCell ref="Y72:Z72"/>
    <mergeCell ref="Y73:Z73"/>
    <mergeCell ref="W72:X72"/>
    <mergeCell ref="W74:X74"/>
    <mergeCell ref="W73:X73"/>
    <mergeCell ref="T71:V71"/>
    <mergeCell ref="T72:V72"/>
    <mergeCell ref="T74:V74"/>
    <mergeCell ref="W75:X75"/>
    <mergeCell ref="T84:V84"/>
    <mergeCell ref="W83:X83"/>
    <mergeCell ref="W84:X84"/>
    <mergeCell ref="Y81:Z81"/>
    <mergeCell ref="Y77:Z77"/>
    <mergeCell ref="W82:X82"/>
    <mergeCell ref="AC81:AD81"/>
    <mergeCell ref="AA82:AB82"/>
    <mergeCell ref="Y76:Z76"/>
    <mergeCell ref="W81:X81"/>
    <mergeCell ref="W78:X78"/>
    <mergeCell ref="W77:X77"/>
    <mergeCell ref="W79:X79"/>
    <mergeCell ref="AC76:AD76"/>
    <mergeCell ref="AA76:AB76"/>
    <mergeCell ref="AA79:AB79"/>
    <mergeCell ref="Y82:Z82"/>
    <mergeCell ref="Y78:Z78"/>
    <mergeCell ref="Y79:Z79"/>
    <mergeCell ref="T80:V80"/>
    <mergeCell ref="W80:X80"/>
    <mergeCell ref="Y80:Z80"/>
    <mergeCell ref="AA80:AB80"/>
    <mergeCell ref="AC80:AD80"/>
    <mergeCell ref="AC75:AD75"/>
    <mergeCell ref="AA71:AB71"/>
    <mergeCell ref="AC69:AD69"/>
    <mergeCell ref="AC64:AD64"/>
    <mergeCell ref="AC79:AD79"/>
    <mergeCell ref="AA77:AB77"/>
    <mergeCell ref="AC70:AD70"/>
    <mergeCell ref="AA70:AB70"/>
    <mergeCell ref="Z44:AA44"/>
    <mergeCell ref="Z51:AE53"/>
    <mergeCell ref="AA63:AB63"/>
    <mergeCell ref="Z54:AE54"/>
    <mergeCell ref="AB47:AC47"/>
    <mergeCell ref="AD44:AE44"/>
    <mergeCell ref="AD47:AE47"/>
    <mergeCell ref="Z47:AA47"/>
    <mergeCell ref="AA64:AB64"/>
    <mergeCell ref="AD30:AE30"/>
    <mergeCell ref="AD26:AE26"/>
    <mergeCell ref="Z32:AA32"/>
    <mergeCell ref="AD29:AE29"/>
    <mergeCell ref="Z29:AA29"/>
    <mergeCell ref="AB29:AC29"/>
    <mergeCell ref="AB30:AC30"/>
    <mergeCell ref="Z28:AA28"/>
    <mergeCell ref="Z30:AA30"/>
    <mergeCell ref="AD24:AE24"/>
    <mergeCell ref="Z24:AA24"/>
    <mergeCell ref="AB24:AC24"/>
    <mergeCell ref="X24:Y24"/>
    <mergeCell ref="Z23:AA23"/>
    <mergeCell ref="X23:Y23"/>
    <mergeCell ref="AB25:AC25"/>
    <mergeCell ref="AB26:AC26"/>
    <mergeCell ref="X27:Y27"/>
    <mergeCell ref="Z27:AA27"/>
    <mergeCell ref="AB27:AC27"/>
    <mergeCell ref="AD27:AE27"/>
    <mergeCell ref="Z26:AA26"/>
    <mergeCell ref="Z25:AA25"/>
    <mergeCell ref="X25:Y25"/>
    <mergeCell ref="X26:Y26"/>
    <mergeCell ref="AD25:AE25"/>
    <mergeCell ref="X29:Y29"/>
    <mergeCell ref="V30:W30"/>
    <mergeCell ref="X30:Y30"/>
    <mergeCell ref="X28:Y28"/>
    <mergeCell ref="AB31:AC31"/>
    <mergeCell ref="AD33:AE33"/>
    <mergeCell ref="Z33:AA33"/>
    <mergeCell ref="B67:J67"/>
    <mergeCell ref="N33:O33"/>
    <mergeCell ref="P32:Q32"/>
    <mergeCell ref="L32:M32"/>
    <mergeCell ref="P33:Q33"/>
    <mergeCell ref="L33:M33"/>
    <mergeCell ref="R33:S33"/>
    <mergeCell ref="B59:AE59"/>
    <mergeCell ref="K51:T51"/>
    <mergeCell ref="E54:F54"/>
    <mergeCell ref="G54:H54"/>
    <mergeCell ref="G51:H53"/>
    <mergeCell ref="K54:L54"/>
    <mergeCell ref="S54:T54"/>
    <mergeCell ref="M54:N54"/>
    <mergeCell ref="O54:P54"/>
    <mergeCell ref="I54:J54"/>
    <mergeCell ref="AB33:AC33"/>
    <mergeCell ref="X40:Y40"/>
    <mergeCell ref="X38:Y38"/>
    <mergeCell ref="Z40:AA40"/>
    <mergeCell ref="AB38:AC38"/>
    <mergeCell ref="K84:M84"/>
    <mergeCell ref="N84:P84"/>
    <mergeCell ref="K75:M75"/>
    <mergeCell ref="K73:M73"/>
    <mergeCell ref="N73:P73"/>
    <mergeCell ref="K83:M83"/>
    <mergeCell ref="Q70:S70"/>
    <mergeCell ref="Q60:S62"/>
    <mergeCell ref="L46:M46"/>
    <mergeCell ref="R47:S47"/>
    <mergeCell ref="AB39:AC39"/>
    <mergeCell ref="V40:W40"/>
    <mergeCell ref="X39:Y39"/>
    <mergeCell ref="Z39:AA39"/>
    <mergeCell ref="K82:M82"/>
    <mergeCell ref="N82:P82"/>
    <mergeCell ref="K81:M81"/>
    <mergeCell ref="T43:U43"/>
    <mergeCell ref="W60:AD60"/>
    <mergeCell ref="AD39:AE39"/>
    <mergeCell ref="AD40:AE40"/>
    <mergeCell ref="X41:Y41"/>
    <mergeCell ref="B74:J74"/>
    <mergeCell ref="Q79:S79"/>
    <mergeCell ref="N78:P78"/>
    <mergeCell ref="K76:M76"/>
    <mergeCell ref="N75:P75"/>
    <mergeCell ref="K74:M74"/>
    <mergeCell ref="Q74:S74"/>
    <mergeCell ref="N74:P74"/>
    <mergeCell ref="N76:P76"/>
    <mergeCell ref="N79:P79"/>
    <mergeCell ref="B78:J78"/>
    <mergeCell ref="B75:J75"/>
    <mergeCell ref="AD41:AE41"/>
    <mergeCell ref="Z43:AA43"/>
    <mergeCell ref="Z41:AA41"/>
    <mergeCell ref="W63:X63"/>
    <mergeCell ref="S57:T57"/>
    <mergeCell ref="U57:Y57"/>
    <mergeCell ref="R45:S45"/>
    <mergeCell ref="V44:W44"/>
    <mergeCell ref="X44:Y44"/>
    <mergeCell ref="B84:J84"/>
    <mergeCell ref="Q84:S84"/>
    <mergeCell ref="B70:J70"/>
    <mergeCell ref="B68:J68"/>
    <mergeCell ref="G57:H57"/>
    <mergeCell ref="A57:D57"/>
    <mergeCell ref="B69:J69"/>
    <mergeCell ref="Q67:S67"/>
    <mergeCell ref="N67:P67"/>
    <mergeCell ref="N68:P68"/>
    <mergeCell ref="K63:M63"/>
    <mergeCell ref="K64:M64"/>
    <mergeCell ref="N63:P63"/>
    <mergeCell ref="Q65:S65"/>
    <mergeCell ref="B66:J66"/>
    <mergeCell ref="B65:J65"/>
    <mergeCell ref="B64:J64"/>
    <mergeCell ref="Q63:S63"/>
    <mergeCell ref="N60:P62"/>
    <mergeCell ref="K60:M62"/>
    <mergeCell ref="A60:A62"/>
    <mergeCell ref="N69:P69"/>
    <mergeCell ref="N70:P70"/>
    <mergeCell ref="E57:F57"/>
    <mergeCell ref="L31:M31"/>
    <mergeCell ref="I55:J55"/>
    <mergeCell ref="A33:F33"/>
    <mergeCell ref="A35:A37"/>
    <mergeCell ref="AB43:AC43"/>
    <mergeCell ref="Z42:AA42"/>
    <mergeCell ref="AB42:AC42"/>
    <mergeCell ref="X42:Y42"/>
    <mergeCell ref="P38:Q38"/>
    <mergeCell ref="R43:S43"/>
    <mergeCell ref="V39:W39"/>
    <mergeCell ref="B39:F39"/>
    <mergeCell ref="V35:AE35"/>
    <mergeCell ref="T39:U39"/>
    <mergeCell ref="B35:F37"/>
    <mergeCell ref="B34:F34"/>
    <mergeCell ref="B38:F38"/>
    <mergeCell ref="T44:U44"/>
    <mergeCell ref="N43:O43"/>
    <mergeCell ref="V42:W42"/>
    <mergeCell ref="N37:O37"/>
    <mergeCell ref="P37:Q37"/>
    <mergeCell ref="L36:M37"/>
    <mergeCell ref="N32:O32"/>
    <mergeCell ref="T32:U32"/>
    <mergeCell ref="N31:O31"/>
    <mergeCell ref="P31:Q31"/>
    <mergeCell ref="AD31:AE31"/>
    <mergeCell ref="Z38:AA38"/>
    <mergeCell ref="Z31:AA31"/>
    <mergeCell ref="AD32:AE32"/>
    <mergeCell ref="AB32:AC32"/>
    <mergeCell ref="V33:W33"/>
    <mergeCell ref="V32:W32"/>
    <mergeCell ref="X32:Y32"/>
    <mergeCell ref="X33:Y33"/>
    <mergeCell ref="X31:Y31"/>
    <mergeCell ref="AD37:AE37"/>
    <mergeCell ref="Z37:AA37"/>
    <mergeCell ref="X36:AE36"/>
    <mergeCell ref="AB37:AC37"/>
    <mergeCell ref="V38:W38"/>
    <mergeCell ref="AD38:AE38"/>
    <mergeCell ref="T31:U31"/>
    <mergeCell ref="T38:U38"/>
    <mergeCell ref="R37:S37"/>
    <mergeCell ref="T37:U37"/>
    <mergeCell ref="R38:S38"/>
    <mergeCell ref="B31:F31"/>
    <mergeCell ref="P29:Q29"/>
    <mergeCell ref="R29:S29"/>
    <mergeCell ref="P28:Q28"/>
    <mergeCell ref="B27:F27"/>
    <mergeCell ref="V25:W25"/>
    <mergeCell ref="V27:W27"/>
    <mergeCell ref="B30:F30"/>
    <mergeCell ref="B29:F29"/>
    <mergeCell ref="N26:O26"/>
    <mergeCell ref="P27:Q27"/>
    <mergeCell ref="R26:S26"/>
    <mergeCell ref="V26:W26"/>
    <mergeCell ref="N27:O27"/>
    <mergeCell ref="L26:M26"/>
    <mergeCell ref="T29:U29"/>
    <mergeCell ref="L30:M30"/>
    <mergeCell ref="N30:O30"/>
    <mergeCell ref="P30:Q30"/>
    <mergeCell ref="R30:S30"/>
    <mergeCell ref="T30:U30"/>
    <mergeCell ref="T27:U27"/>
    <mergeCell ref="P26:Q26"/>
    <mergeCell ref="N28:O28"/>
  </mergeCells>
  <phoneticPr fontId="4" type="noConversion"/>
  <pageMargins left="0.19685039370078741" right="0.19685039370078741" top="0.98425196850393704" bottom="0.19685039370078741" header="0.27559055118110237" footer="0.31496062992125984"/>
  <pageSetup paperSize="9" scale="56" orientation="landscape" verticalDpi="1200" r:id="rId1"/>
  <headerFooter alignWithMargins="0"/>
  <rowBreaks count="2" manualBreakCount="2">
    <brk id="33" max="30" man="1"/>
    <brk id="58" max="30" man="1"/>
  </rowBreaks>
  <ignoredErrors>
    <ignoredError sqref="H32:K32 N32" formulaRange="1"/>
    <ignoredError sqref="N33:O33 H33:K33" evalError="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12</vt:i4>
      </vt:variant>
    </vt:vector>
  </HeadingPairs>
  <TitlesOfParts>
    <vt:vector size="22" baseType="lpstr">
      <vt:lpstr>Осн. фін. пок.</vt:lpstr>
      <vt:lpstr>I. Фін результат</vt:lpstr>
      <vt:lpstr>ІІ. Розр. з бюджетом</vt:lpstr>
      <vt:lpstr>ІІІ. Рух грош. коштів</vt:lpstr>
      <vt:lpstr>IV. Кап. інвестиції</vt:lpstr>
      <vt:lpstr> V. Коефіцієнти</vt:lpstr>
      <vt:lpstr>6.1. Інша інфо_1</vt:lpstr>
      <vt:lpstr>Розрахунок посадових окладів</vt:lpstr>
      <vt:lpstr>6.2. Інша інфо_2</vt:lpstr>
      <vt:lpstr>Аркуш2</vt:lpstr>
      <vt:lpstr>' V. Коефіцієнти'!Заголовки_для_печати</vt:lpstr>
      <vt:lpstr>'I. Фін результат'!Заголовки_для_печати</vt:lpstr>
      <vt:lpstr>'ІІ. Розр. з бюджетом'!Заголовки_для_печати</vt:lpstr>
      <vt:lpstr>'Осн. фін. пок.'!Заголовки_для_печати</vt:lpstr>
      <vt:lpstr>' V. Коефіцієнти'!Область_печати</vt:lpstr>
      <vt:lpstr>'6.2. Інша інфо_2'!Область_печати</vt:lpstr>
      <vt:lpstr>'I. Фін результат'!Область_печати</vt:lpstr>
      <vt:lpstr>'IV. Кап. інвестиції'!Область_печати</vt:lpstr>
      <vt:lpstr>'ІІ. Розр. з бюджетом'!Область_печати</vt:lpstr>
      <vt:lpstr>'ІІІ. Рух грош. коштів'!Область_печати</vt:lpstr>
      <vt:lpstr>'Осн. фін. пок.'!Область_печати</vt:lpstr>
      <vt:lpstr>'Розрахунок посадових окладів'!Область_печати</vt:lpstr>
    </vt:vector>
  </TitlesOfParts>
  <Company>ME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dc:creator>
  <cp:lastModifiedBy>Шкап І.А.</cp:lastModifiedBy>
  <cp:lastPrinted>2025-11-28T10:10:22Z</cp:lastPrinted>
  <dcterms:created xsi:type="dcterms:W3CDTF">2003-03-13T16:00:22Z</dcterms:created>
  <dcterms:modified xsi:type="dcterms:W3CDTF">2025-12-24T07:31:24Z</dcterms:modified>
</cp:coreProperties>
</file>